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4-Final PMT\"/>
    </mc:Choice>
  </mc:AlternateContent>
  <xr:revisionPtr revIDLastSave="0" documentId="13_ncr:1_{AD7B45B0-44EF-44F7-9B37-BDC9897FAD50}" xr6:coauthVersionLast="47" xr6:coauthVersionMax="47" xr10:uidLastSave="{00000000-0000-0000-0000-000000000000}"/>
  <bookViews>
    <workbookView xWindow="57480" yWindow="-120" windowWidth="29040" windowHeight="15840" activeTab="1" xr2:uid="{00000000-000D-0000-FFFF-FFFF00000000}"/>
  </bookViews>
  <sheets>
    <sheet name="Annual Rev &amp; Fees" sheetId="72" r:id="rId1"/>
    <sheet name="Net Payment" sheetId="64" r:id="rId2"/>
    <sheet name="Charter Schools" sheetId="65" state="hidden" r:id="rId3"/>
    <sheet name="Consolidated" sheetId="60" r:id="rId4"/>
    <sheet name="Cumulative Payments" sheetId="79" state="hidden" r:id="rId5"/>
    <sheet name="1461" sheetId="7" r:id="rId6"/>
    <sheet name="1571" sheetId="16" r:id="rId7"/>
    <sheet name="2521" sheetId="17" r:id="rId8"/>
    <sheet name="2531" sheetId="18" r:id="rId9"/>
    <sheet name="2791" sheetId="20" r:id="rId10"/>
    <sheet name="2801" sheetId="21" r:id="rId11"/>
    <sheet name="2911" sheetId="25" r:id="rId12"/>
    <sheet name="2941" sheetId="24" r:id="rId13"/>
    <sheet name="3083" sheetId="22" r:id="rId14"/>
    <sheet name="3345" sheetId="26" r:id="rId15"/>
    <sheet name="3381" sheetId="27" r:id="rId16"/>
    <sheet name="3382" sheetId="28" r:id="rId17"/>
    <sheet name="3391" sheetId="31" r:id="rId18"/>
    <sheet name="3394" sheetId="32" r:id="rId19"/>
    <sheet name="3395" sheetId="33" r:id="rId20"/>
    <sheet name="3396" sheetId="34" r:id="rId21"/>
    <sheet name="3398" sheetId="35" r:id="rId22"/>
    <sheet name="3400" sheetId="23" r:id="rId23"/>
    <sheet name="3401" sheetId="36" r:id="rId24"/>
    <sheet name="3413" sheetId="37" r:id="rId25"/>
    <sheet name="3421" sheetId="38" r:id="rId26"/>
    <sheet name="3431" sheetId="39" r:id="rId27"/>
    <sheet name="3441" sheetId="40" r:id="rId28"/>
    <sheet name="3924" sheetId="42" r:id="rId29"/>
    <sheet name="3941" sheetId="43" r:id="rId30"/>
    <sheet name="3961" sheetId="44" r:id="rId31"/>
    <sheet name="3971" sheetId="45" r:id="rId32"/>
    <sheet name="4001" sheetId="47" r:id="rId33"/>
    <sheet name="4002" sheetId="48" r:id="rId34"/>
    <sheet name="4012" sheetId="50" r:id="rId35"/>
    <sheet name="4013" sheetId="51" r:id="rId36"/>
    <sheet name="4020" sheetId="52" r:id="rId37"/>
    <sheet name="4030" sheetId="75" r:id="rId38"/>
    <sheet name="4031" sheetId="76" r:id="rId39"/>
    <sheet name="4041" sheetId="55" r:id="rId40"/>
    <sheet name="4050" sheetId="56" r:id="rId41"/>
    <sheet name="4051" sheetId="57" r:id="rId42"/>
    <sheet name="4061" sheetId="58" r:id="rId43"/>
    <sheet name="4080" sheetId="66" r:id="rId44"/>
    <sheet name="4081" sheetId="67" r:id="rId45"/>
    <sheet name="4090" sheetId="69" r:id="rId46"/>
    <sheet name="4091" sheetId="70" r:id="rId47"/>
    <sheet name="4100" sheetId="71" r:id="rId48"/>
    <sheet name="4102" sheetId="68" r:id="rId49"/>
    <sheet name="4103" sheetId="77" r:id="rId50"/>
    <sheet name="4111" sheetId="78" r:id="rId51"/>
    <sheet name="4131" sheetId="30" r:id="rId52"/>
    <sheet name="Virtual" sheetId="62" state="hidden" r:id="rId53"/>
  </sheets>
  <definedNames>
    <definedName name="_xlnm._FilterDatabase" localSheetId="0" hidden="1">'Annual Rev &amp; Fees'!$A$5:$W$51</definedName>
    <definedName name="_xlnm._FilterDatabase" localSheetId="1" hidden="1">'Net Payment'!$A$4:$G$440</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0"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5">'1461'!$A$6:$I$145</definedName>
    <definedName name="_xlnm.Print_Area" localSheetId="3">Consolidated!$A$2:$I$144</definedName>
    <definedName name="_xlnm.Print_Area" localSheetId="1">'Net Payment'!$A$5:$G$492</definedName>
    <definedName name="_xlnm.Print_Area" localSheetId="52">Virtual!$B$2:$G$38</definedName>
    <definedName name="_xlnm.Print_Titles" localSheetId="5">'1461'!$2:$5</definedName>
    <definedName name="_xlnm.Print_Titles" localSheetId="1">'Net Payment'!$1:$4</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4" i="64" l="1"/>
  <c r="J59" i="79" l="1"/>
  <c r="I51" i="7" l="1"/>
  <c r="I128" i="7"/>
  <c r="H106" i="7"/>
  <c r="I107" i="7"/>
  <c r="I85" i="7"/>
  <c r="I66" i="7"/>
  <c r="I46" i="7" l="1"/>
  <c r="R78" i="79" l="1"/>
  <c r="R79" i="79"/>
  <c r="R80" i="79"/>
  <c r="R81" i="79"/>
  <c r="R82" i="79"/>
  <c r="R83" i="79"/>
  <c r="R84" i="79"/>
  <c r="R85" i="79"/>
  <c r="R86" i="79"/>
  <c r="R87" i="79"/>
  <c r="R88" i="79"/>
  <c r="R89" i="79"/>
  <c r="R90" i="79"/>
  <c r="R91" i="79"/>
  <c r="R92" i="79"/>
  <c r="R93" i="79"/>
  <c r="R94" i="79"/>
  <c r="R95" i="79"/>
  <c r="R96" i="79"/>
  <c r="R97" i="79"/>
  <c r="R98" i="79"/>
  <c r="R99" i="79"/>
  <c r="R100" i="79"/>
  <c r="R101" i="79"/>
  <c r="R102" i="79"/>
  <c r="R103" i="79"/>
  <c r="R104" i="79"/>
  <c r="R105" i="79"/>
  <c r="R106" i="79"/>
  <c r="R107" i="79"/>
  <c r="R108" i="79"/>
  <c r="R109" i="79"/>
  <c r="R110" i="79"/>
  <c r="R111" i="79"/>
  <c r="R112" i="79"/>
  <c r="R113" i="79"/>
  <c r="R114" i="79"/>
  <c r="R115" i="79"/>
  <c r="R116" i="79"/>
  <c r="R117" i="79"/>
  <c r="R118" i="79"/>
  <c r="R119" i="79"/>
  <c r="R120" i="79"/>
  <c r="R121" i="79"/>
  <c r="R122" i="79"/>
  <c r="R123" i="79"/>
  <c r="R77" i="79"/>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Q6" i="79"/>
  <c r="R6" i="79"/>
  <c r="C30" i="43"/>
  <c r="F16" i="17"/>
  <c r="H78" i="24" l="1"/>
  <c r="F21" i="71"/>
  <c r="D112" i="60" l="1"/>
  <c r="D111" i="60"/>
  <c r="E113" i="43"/>
  <c r="E114" i="34"/>
  <c r="E113" i="78"/>
  <c r="E113" i="77"/>
  <c r="E114" i="71"/>
  <c r="E113" i="71"/>
  <c r="E113" i="70"/>
  <c r="E113" i="69"/>
  <c r="E113" i="67"/>
  <c r="E113" i="66"/>
  <c r="E113" i="58"/>
  <c r="E113" i="57"/>
  <c r="E114" i="56"/>
  <c r="E113" i="56"/>
  <c r="E113" i="76"/>
  <c r="E113" i="75"/>
  <c r="E113" i="52"/>
  <c r="E113" i="51"/>
  <c r="E113" i="50"/>
  <c r="E114" i="48"/>
  <c r="E113" i="48"/>
  <c r="E113" i="47"/>
  <c r="E113" i="45"/>
  <c r="E113" i="42"/>
  <c r="E113" i="40"/>
  <c r="E113" i="39"/>
  <c r="E113" i="38"/>
  <c r="E113" i="36"/>
  <c r="E113" i="23"/>
  <c r="E113" i="35"/>
  <c r="E113" i="34"/>
  <c r="E113" i="33"/>
  <c r="E113" i="32"/>
  <c r="E113" i="31"/>
  <c r="E113" i="28"/>
  <c r="E113" i="27"/>
  <c r="E113" i="26"/>
  <c r="E113" i="25"/>
  <c r="E113" i="21"/>
  <c r="E113" i="20"/>
  <c r="E113" i="18"/>
  <c r="E113" i="17"/>
  <c r="E113" i="16"/>
  <c r="E114" i="16"/>
  <c r="E113" i="7"/>
  <c r="Q77" i="79"/>
  <c r="I139" i="7" s="1"/>
  <c r="I139" i="27"/>
  <c r="P125" i="79"/>
  <c r="O125" i="79"/>
  <c r="N125" i="79"/>
  <c r="M125" i="79"/>
  <c r="L125" i="79"/>
  <c r="I125" i="79"/>
  <c r="H125" i="79"/>
  <c r="G125" i="79"/>
  <c r="F125" i="79"/>
  <c r="E125" i="79"/>
  <c r="D125" i="79"/>
  <c r="K123" i="79"/>
  <c r="Q122" i="79"/>
  <c r="I139" i="78" s="1"/>
  <c r="K121" i="79"/>
  <c r="J121" i="79"/>
  <c r="Q120" i="79"/>
  <c r="I139" i="68" s="1"/>
  <c r="K119" i="79"/>
  <c r="J119" i="79"/>
  <c r="Q118" i="79"/>
  <c r="I139" i="70" s="1"/>
  <c r="Q117" i="79"/>
  <c r="I139" i="69" s="1"/>
  <c r="Q116" i="79"/>
  <c r="I139" i="67" s="1"/>
  <c r="Q115" i="79"/>
  <c r="I139" i="66" s="1"/>
  <c r="Q114" i="79"/>
  <c r="I139" i="58" s="1"/>
  <c r="Q113" i="79"/>
  <c r="I139" i="57" s="1"/>
  <c r="Q112" i="79"/>
  <c r="I139" i="56" s="1"/>
  <c r="Q111" i="79"/>
  <c r="I139" i="55" s="1"/>
  <c r="Q110" i="79"/>
  <c r="I139" i="76" s="1"/>
  <c r="Q109" i="79"/>
  <c r="I139" i="75" s="1"/>
  <c r="Q108" i="79"/>
  <c r="I139" i="52" s="1"/>
  <c r="Q107" i="79"/>
  <c r="I139" i="51" s="1"/>
  <c r="Q106" i="79"/>
  <c r="I139" i="50" s="1"/>
  <c r="Q105" i="79"/>
  <c r="I139" i="48" s="1"/>
  <c r="Q104" i="79"/>
  <c r="I139" i="47" s="1"/>
  <c r="Q103" i="79"/>
  <c r="I139" i="45" s="1"/>
  <c r="Q102" i="79"/>
  <c r="I139" i="44" s="1"/>
  <c r="Q101" i="79"/>
  <c r="I139" i="43" s="1"/>
  <c r="Q100" i="79"/>
  <c r="I139" i="42" s="1"/>
  <c r="Q99" i="79"/>
  <c r="I139" i="40" s="1"/>
  <c r="Q98" i="79"/>
  <c r="I139" i="39" s="1"/>
  <c r="Q97" i="79"/>
  <c r="I139" i="38" s="1"/>
  <c r="Q96" i="79"/>
  <c r="I139" i="37" s="1"/>
  <c r="Q95" i="79"/>
  <c r="I139" i="36" s="1"/>
  <c r="Q94" i="79"/>
  <c r="I139" i="23" s="1"/>
  <c r="Q93" i="79"/>
  <c r="I139" i="35" s="1"/>
  <c r="Q92" i="79"/>
  <c r="I139" i="34" s="1"/>
  <c r="Q91" i="79"/>
  <c r="I139" i="33" s="1"/>
  <c r="Q90" i="79"/>
  <c r="I139" i="32" s="1"/>
  <c r="Q89" i="79"/>
  <c r="I139" i="31" s="1"/>
  <c r="Q88" i="79"/>
  <c r="I139" i="28" s="1"/>
  <c r="Q87" i="79"/>
  <c r="Q86" i="79"/>
  <c r="I139" i="26" s="1"/>
  <c r="Q85" i="79"/>
  <c r="I139" i="22" s="1"/>
  <c r="Q84" i="79"/>
  <c r="I139" i="24" s="1"/>
  <c r="Q83" i="79"/>
  <c r="I139" i="25" s="1"/>
  <c r="Q82" i="79"/>
  <c r="I139" i="21" s="1"/>
  <c r="Q81" i="79"/>
  <c r="I139" i="20" s="1"/>
  <c r="Q80" i="79"/>
  <c r="I139" i="18" s="1"/>
  <c r="K79" i="79"/>
  <c r="J79" i="79"/>
  <c r="J125" i="79" s="1"/>
  <c r="Q78" i="79"/>
  <c r="I139" i="16" s="1"/>
  <c r="Q123" i="79" l="1"/>
  <c r="I139" i="30" s="1"/>
  <c r="Q119" i="79"/>
  <c r="I139" i="71" s="1"/>
  <c r="K125" i="79"/>
  <c r="Q79" i="79"/>
  <c r="R125" i="79"/>
  <c r="Q121" i="79"/>
  <c r="I139" i="77" s="1"/>
  <c r="Q125" i="79" l="1"/>
  <c r="I139" i="17"/>
  <c r="M54" i="79" l="1"/>
  <c r="E62" i="50"/>
  <c r="E61" i="50"/>
  <c r="E60" i="50"/>
  <c r="E54" i="79" l="1"/>
  <c r="J8" i="79" l="1"/>
  <c r="K8" i="79"/>
  <c r="J48" i="79"/>
  <c r="K48" i="79"/>
  <c r="J50" i="79"/>
  <c r="K50" i="79"/>
  <c r="K52" i="79"/>
  <c r="D54" i="79"/>
  <c r="F54" i="79"/>
  <c r="G54" i="79"/>
  <c r="H54" i="79"/>
  <c r="I54" i="79"/>
  <c r="L54" i="79"/>
  <c r="O54" i="79"/>
  <c r="P54" i="79"/>
  <c r="K54" i="79" l="1"/>
  <c r="R54" i="79"/>
  <c r="J54" i="79"/>
  <c r="C112" i="60"/>
  <c r="C111" i="60"/>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F451" i="64" l="1"/>
  <c r="C30" i="68"/>
  <c r="D6" i="72" l="1"/>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D27" i="64" l="1"/>
  <c r="F478" i="64" s="1"/>
  <c r="F459" i="64" l="1"/>
  <c r="F479" i="64"/>
  <c r="G479" i="64" s="1"/>
  <c r="F471" i="64"/>
  <c r="U126" i="31"/>
  <c r="U126"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I59" i="16" s="1"/>
  <c r="E58" i="16"/>
  <c r="E57" i="16"/>
  <c r="D66" i="17"/>
  <c r="E63" i="17" s="1"/>
  <c r="C66" i="17"/>
  <c r="E62" i="17"/>
  <c r="E61" i="17"/>
  <c r="E60" i="17"/>
  <c r="E59" i="17"/>
  <c r="I59" i="17" s="1"/>
  <c r="E58" i="17"/>
  <c r="I58" i="17" s="1"/>
  <c r="E57" i="17"/>
  <c r="D66" i="18"/>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16" l="1"/>
  <c r="E64" i="16"/>
  <c r="I57" i="20"/>
  <c r="I64" i="18"/>
  <c r="E58" i="43"/>
  <c r="E57" i="43"/>
  <c r="E65" i="43"/>
  <c r="E60" i="43"/>
  <c r="E64" i="43"/>
  <c r="I64" i="43" s="1"/>
  <c r="E63" i="43"/>
  <c r="I63" i="43" s="1"/>
  <c r="E62" i="43"/>
  <c r="I62" i="43" s="1"/>
  <c r="E61" i="43"/>
  <c r="I61" i="43" s="1"/>
  <c r="E59" i="43"/>
  <c r="I59" i="43" s="1"/>
  <c r="E64" i="7"/>
  <c r="I64" i="7" s="1"/>
  <c r="E63" i="7"/>
  <c r="E62" i="23"/>
  <c r="E59" i="23"/>
  <c r="I59" i="23" s="1"/>
  <c r="E61" i="23"/>
  <c r="I61" i="23" s="1"/>
  <c r="E60" i="23"/>
  <c r="E58" i="23"/>
  <c r="I58" i="23" s="1"/>
  <c r="E57" i="23"/>
  <c r="I57" i="23" s="1"/>
  <c r="E64" i="23"/>
  <c r="I64" i="23" s="1"/>
  <c r="E65" i="23"/>
  <c r="I65" i="23" s="1"/>
  <c r="E63" i="23"/>
  <c r="I63" i="23" s="1"/>
  <c r="E62" i="28"/>
  <c r="I62" i="28" s="1"/>
  <c r="E59" i="28"/>
  <c r="I59" i="28" s="1"/>
  <c r="E61" i="28"/>
  <c r="I61" i="28" s="1"/>
  <c r="E60" i="28"/>
  <c r="I60" i="28" s="1"/>
  <c r="E58" i="28"/>
  <c r="I58" i="28" s="1"/>
  <c r="E57" i="28"/>
  <c r="E64" i="28"/>
  <c r="E65" i="28"/>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E59" i="70"/>
  <c r="I59" i="70" s="1"/>
  <c r="E58" i="70"/>
  <c r="I58" i="70" s="1"/>
  <c r="E57" i="70"/>
  <c r="I57" i="70" s="1"/>
  <c r="E58" i="57"/>
  <c r="I58" i="57" s="1"/>
  <c r="E57" i="57"/>
  <c r="E60" i="57"/>
  <c r="I60" i="57" s="1"/>
  <c r="E65" i="57"/>
  <c r="I65" i="57" s="1"/>
  <c r="E64" i="57"/>
  <c r="I64" i="57" s="1"/>
  <c r="E63" i="57"/>
  <c r="I63" i="57" s="1"/>
  <c r="E61" i="57"/>
  <c r="I61" i="57" s="1"/>
  <c r="E59" i="57"/>
  <c r="I59" i="57" s="1"/>
  <c r="E65" i="51"/>
  <c r="I65" i="51" s="1"/>
  <c r="E64" i="51"/>
  <c r="I64" i="51" s="1"/>
  <c r="E63" i="51"/>
  <c r="I63" i="51" s="1"/>
  <c r="E62" i="51"/>
  <c r="I62" i="51" s="1"/>
  <c r="E61" i="51"/>
  <c r="I61" i="51" s="1"/>
  <c r="E60" i="51"/>
  <c r="E59" i="51"/>
  <c r="I59" i="51" s="1"/>
  <c r="E58" i="51"/>
  <c r="E57" i="51"/>
  <c r="E64" i="33"/>
  <c r="I64" i="33" s="1"/>
  <c r="E63" i="33"/>
  <c r="I63" i="33" s="1"/>
  <c r="E62" i="33"/>
  <c r="I62" i="33" s="1"/>
  <c r="E61" i="33"/>
  <c r="I61" i="33" s="1"/>
  <c r="E60" i="33"/>
  <c r="I60" i="33" s="1"/>
  <c r="E58" i="33"/>
  <c r="I58" i="33" s="1"/>
  <c r="E59" i="33"/>
  <c r="E57" i="33"/>
  <c r="I57" i="33" s="1"/>
  <c r="E65" i="33"/>
  <c r="I65" i="33" s="1"/>
  <c r="E59" i="21"/>
  <c r="I59" i="21" s="1"/>
  <c r="E58" i="21"/>
  <c r="E57" i="21"/>
  <c r="I57" i="21" s="1"/>
  <c r="E61" i="21"/>
  <c r="I61" i="21" s="1"/>
  <c r="E60" i="21"/>
  <c r="I60" i="21" s="1"/>
  <c r="E62" i="76"/>
  <c r="I62" i="76" s="1"/>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I65" i="42" s="1"/>
  <c r="E64" i="42"/>
  <c r="E63" i="42"/>
  <c r="E62" i="42"/>
  <c r="E61" i="42"/>
  <c r="E60" i="42"/>
  <c r="I60" i="42" s="1"/>
  <c r="E58" i="42"/>
  <c r="I58" i="42" s="1"/>
  <c r="E59" i="42"/>
  <c r="I59" i="42" s="1"/>
  <c r="E57" i="42"/>
  <c r="I57" i="42" s="1"/>
  <c r="E61" i="66"/>
  <c r="I61" i="66" s="1"/>
  <c r="E60" i="66"/>
  <c r="I60" i="66" s="1"/>
  <c r="E59" i="66"/>
  <c r="I59" i="66" s="1"/>
  <c r="E57" i="66"/>
  <c r="E65" i="66"/>
  <c r="I65" i="66" s="1"/>
  <c r="E64" i="66"/>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E63" i="48"/>
  <c r="E62" i="48"/>
  <c r="I62" i="48" s="1"/>
  <c r="E58" i="48"/>
  <c r="I58" i="48" s="1"/>
  <c r="E61" i="48"/>
  <c r="I61" i="48" s="1"/>
  <c r="E60" i="48"/>
  <c r="I60" i="48" s="1"/>
  <c r="E59" i="48"/>
  <c r="I59" i="48" s="1"/>
  <c r="E61" i="27"/>
  <c r="I61" i="27" s="1"/>
  <c r="E60" i="27"/>
  <c r="I60" i="27" s="1"/>
  <c r="E59" i="27"/>
  <c r="E58" i="27"/>
  <c r="E57" i="27"/>
  <c r="I57" i="27" s="1"/>
  <c r="E65" i="27"/>
  <c r="I65" i="27" s="1"/>
  <c r="E64" i="27"/>
  <c r="E63" i="27"/>
  <c r="I63" i="27" s="1"/>
  <c r="E62" i="27"/>
  <c r="I62" i="27" s="1"/>
  <c r="E60" i="68"/>
  <c r="I60" i="68" s="1"/>
  <c r="E57" i="68"/>
  <c r="I57" i="68" s="1"/>
  <c r="E59" i="68"/>
  <c r="I59" i="68" s="1"/>
  <c r="E58" i="68"/>
  <c r="I58" i="68" s="1"/>
  <c r="E62" i="68"/>
  <c r="I62" i="68" s="1"/>
  <c r="E65" i="68"/>
  <c r="I65" i="68" s="1"/>
  <c r="E64" i="68"/>
  <c r="I64" i="68" s="1"/>
  <c r="E63" i="68"/>
  <c r="E61" i="68"/>
  <c r="E65" i="69"/>
  <c r="I65" i="69" s="1"/>
  <c r="E64" i="69"/>
  <c r="I64" i="69" s="1"/>
  <c r="E62" i="69"/>
  <c r="I62" i="69" s="1"/>
  <c r="E63" i="69"/>
  <c r="I63" i="69" s="1"/>
  <c r="E61" i="69"/>
  <c r="I61" i="69" s="1"/>
  <c r="E60" i="69"/>
  <c r="I60" i="69" s="1"/>
  <c r="E59" i="69"/>
  <c r="I59" i="69" s="1"/>
  <c r="E58" i="69"/>
  <c r="E57" i="69"/>
  <c r="I57" i="69" s="1"/>
  <c r="E64" i="56"/>
  <c r="I64" i="56" s="1"/>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E65" i="75"/>
  <c r="I65" i="75" s="1"/>
  <c r="E64" i="75"/>
  <c r="I64" i="75" s="1"/>
  <c r="E63" i="75"/>
  <c r="I63" i="75" s="1"/>
  <c r="E61" i="75"/>
  <c r="I61" i="75" s="1"/>
  <c r="E65" i="40"/>
  <c r="I65" i="40" s="1"/>
  <c r="E64" i="40"/>
  <c r="I64" i="40" s="1"/>
  <c r="E63" i="40"/>
  <c r="I63" i="40" s="1"/>
  <c r="E62" i="40"/>
  <c r="I62" i="40" s="1"/>
  <c r="E61" i="40"/>
  <c r="E60" i="40"/>
  <c r="I60" i="40" s="1"/>
  <c r="E59" i="40"/>
  <c r="E58" i="40"/>
  <c r="I58" i="40" s="1"/>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I61" i="36" s="1"/>
  <c r="E62" i="36"/>
  <c r="E60" i="36"/>
  <c r="I60" i="36" s="1"/>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E65" i="44"/>
  <c r="I65" i="44" s="1"/>
  <c r="E64" i="44"/>
  <c r="I64" i="44" s="1"/>
  <c r="E63" i="44"/>
  <c r="I63" i="44" s="1"/>
  <c r="E62" i="44"/>
  <c r="I62" i="44" s="1"/>
  <c r="E61" i="44"/>
  <c r="I61" i="44" s="1"/>
  <c r="E58" i="52"/>
  <c r="I58" i="52" s="1"/>
  <c r="E57" i="52"/>
  <c r="E65" i="52"/>
  <c r="I65" i="52" s="1"/>
  <c r="E64" i="52"/>
  <c r="I64" i="52" s="1"/>
  <c r="E63" i="52"/>
  <c r="I63" i="52" s="1"/>
  <c r="E62" i="52"/>
  <c r="I62" i="52" s="1"/>
  <c r="E60" i="52"/>
  <c r="I60" i="52" s="1"/>
  <c r="E61" i="52"/>
  <c r="I61" i="52" s="1"/>
  <c r="E59" i="52"/>
  <c r="I59" i="52" s="1"/>
  <c r="E65" i="47"/>
  <c r="I65" i="47" s="1"/>
  <c r="E62" i="47"/>
  <c r="I62" i="47" s="1"/>
  <c r="E64" i="47"/>
  <c r="I64" i="47" s="1"/>
  <c r="E63" i="47"/>
  <c r="I63" i="47" s="1"/>
  <c r="E61" i="47"/>
  <c r="I61" i="47" s="1"/>
  <c r="E60" i="47"/>
  <c r="I60" i="47" s="1"/>
  <c r="E59" i="47"/>
  <c r="E58" i="47"/>
  <c r="E57" i="47"/>
  <c r="I57" i="47" s="1"/>
  <c r="E65" i="39"/>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E62" i="3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E58" i="38"/>
  <c r="I58" i="38" s="1"/>
  <c r="E65" i="38"/>
  <c r="I65" i="38" s="1"/>
  <c r="E64" i="38"/>
  <c r="I64" i="38" s="1"/>
  <c r="E63" i="38"/>
  <c r="I63" i="38" s="1"/>
  <c r="E61" i="38"/>
  <c r="I61" i="38" s="1"/>
  <c r="E65" i="17"/>
  <c r="I65" i="17" s="1"/>
  <c r="E64" i="17"/>
  <c r="I64" i="17" s="1"/>
  <c r="I64" i="16"/>
  <c r="E63" i="16"/>
  <c r="I63" i="16" s="1"/>
  <c r="I62" i="36"/>
  <c r="I63" i="68"/>
  <c r="I63" i="24"/>
  <c r="I57" i="45"/>
  <c r="I58" i="44"/>
  <c r="I58" i="16"/>
  <c r="I62" i="31"/>
  <c r="I58" i="20"/>
  <c r="I60" i="7"/>
  <c r="U57" i="38"/>
  <c r="U66" i="38" s="1"/>
  <c r="U57" i="22"/>
  <c r="U66" i="22" s="1"/>
  <c r="I62" i="7"/>
  <c r="I65" i="7"/>
  <c r="I61" i="7"/>
  <c r="I63" i="18"/>
  <c r="I57" i="7"/>
  <c r="I58" i="7"/>
  <c r="U57" i="27"/>
  <c r="U66" i="27" s="1"/>
  <c r="I59" i="7"/>
  <c r="I65" i="70"/>
  <c r="I65" i="50"/>
  <c r="U66" i="37"/>
  <c r="U66" i="24"/>
  <c r="I57" i="71"/>
  <c r="I57" i="51"/>
  <c r="I64" i="42"/>
  <c r="I64" i="27"/>
  <c r="I64" i="28"/>
  <c r="I58" i="21"/>
  <c r="I60" i="18"/>
  <c r="I64" i="66"/>
  <c r="I65" i="16"/>
  <c r="I64" i="70"/>
  <c r="I64" i="21"/>
  <c r="I57" i="50"/>
  <c r="I59" i="47"/>
  <c r="I63" i="42"/>
  <c r="I59" i="18"/>
  <c r="U66" i="35"/>
  <c r="U66" i="20"/>
  <c r="I63" i="66"/>
  <c r="I63" i="17"/>
  <c r="U66" i="32"/>
  <c r="U66" i="16"/>
  <c r="I59" i="76"/>
  <c r="I63" i="50"/>
  <c r="I60" i="22"/>
  <c r="I63" i="21"/>
  <c r="I64" i="20"/>
  <c r="I61" i="26"/>
  <c r="I65" i="21"/>
  <c r="I58" i="47"/>
  <c r="I58" i="18"/>
  <c r="U66" i="71"/>
  <c r="U66" i="51"/>
  <c r="U66" i="36"/>
  <c r="U66" i="25"/>
  <c r="U66" i="23"/>
  <c r="U66" i="21"/>
  <c r="I58" i="51"/>
  <c r="U66" i="47"/>
  <c r="U66" i="34"/>
  <c r="U66" i="18"/>
  <c r="I57" i="22"/>
  <c r="U66" i="33"/>
  <c r="U66" i="17"/>
  <c r="I62" i="21"/>
  <c r="U66" i="57"/>
  <c r="U66" i="43"/>
  <c r="U66" i="31"/>
  <c r="U66" i="28"/>
  <c r="I62" i="75"/>
  <c r="I58" i="43"/>
  <c r="U66" i="39"/>
  <c r="U66" i="26"/>
  <c r="U66" i="77"/>
  <c r="U66" i="75"/>
  <c r="U66" i="68"/>
  <c r="U66" i="52"/>
  <c r="U66" i="70"/>
  <c r="U66" i="50"/>
  <c r="U66" i="69"/>
  <c r="U66" i="48"/>
  <c r="U66" i="67"/>
  <c r="U66" i="66"/>
  <c r="U66" i="45"/>
  <c r="U66" i="58"/>
  <c r="U66" i="44"/>
  <c r="I57" i="43"/>
  <c r="U66" i="56"/>
  <c r="U66" i="42"/>
  <c r="U66" i="30"/>
  <c r="U66" i="55"/>
  <c r="U66" i="40"/>
  <c r="U66" i="78"/>
  <c r="U66" i="76"/>
  <c r="I57" i="24"/>
  <c r="I65" i="76"/>
  <c r="I65" i="39"/>
  <c r="I65" i="43"/>
  <c r="I61" i="35"/>
  <c r="I61" i="68"/>
  <c r="I59" i="20"/>
  <c r="I59" i="40"/>
  <c r="I64" i="50"/>
  <c r="I58" i="50"/>
  <c r="I63" i="31"/>
  <c r="I59" i="27"/>
  <c r="I62" i="24"/>
  <c r="I61" i="17"/>
  <c r="I62" i="16"/>
  <c r="I58" i="69"/>
  <c r="I63" i="48"/>
  <c r="I62" i="45"/>
  <c r="I61" i="42"/>
  <c r="I58" i="37"/>
  <c r="I65" i="28"/>
  <c r="I64" i="24"/>
  <c r="I62" i="20"/>
  <c r="I61" i="18"/>
  <c r="I60" i="70"/>
  <c r="I64" i="48"/>
  <c r="I62" i="42"/>
  <c r="I59" i="38"/>
  <c r="I65" i="24"/>
  <c r="I63" i="20"/>
  <c r="I62" i="18"/>
  <c r="I62" i="17"/>
  <c r="I58" i="75"/>
  <c r="I60" i="23"/>
  <c r="I58" i="27"/>
  <c r="I62" i="57"/>
  <c r="I63" i="37"/>
  <c r="I62" i="23"/>
  <c r="I61" i="31"/>
  <c r="I59" i="22"/>
  <c r="I59" i="24"/>
  <c r="I62" i="50"/>
  <c r="I60" i="20"/>
  <c r="I60" i="17"/>
  <c r="I60" i="16"/>
  <c r="I57" i="18"/>
  <c r="I57" i="16"/>
  <c r="I57" i="17"/>
  <c r="I57" i="32"/>
  <c r="E66" i="24"/>
  <c r="I57" i="28"/>
  <c r="I61" i="16"/>
  <c r="E66" i="18"/>
  <c r="E66" i="20"/>
  <c r="E66" i="50"/>
  <c r="I60" i="51"/>
  <c r="I60" i="43"/>
  <c r="E66" i="16" l="1"/>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I66" i="25" s="1"/>
  <c r="E66" i="21"/>
  <c r="E61" i="60"/>
  <c r="E66" i="60"/>
  <c r="I63" i="7"/>
  <c r="E63" i="60"/>
  <c r="E65" i="60"/>
  <c r="E66" i="38"/>
  <c r="E62" i="60"/>
  <c r="E66" i="17"/>
  <c r="E67" i="60"/>
  <c r="I64" i="60"/>
  <c r="I62" i="60"/>
  <c r="I66" i="60"/>
  <c r="I67" i="60"/>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5" i="60"/>
  <c r="I60"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T78" i="24"/>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7" l="1"/>
  <c r="E112" i="60" s="1"/>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H69" i="32" l="1"/>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D52" i="72" l="1"/>
  <c r="U52" i="72"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K32" i="64"/>
  <c r="D7" i="72"/>
  <c r="D8" i="72"/>
  <c r="U8" i="72" s="1"/>
  <c r="D9" i="72"/>
  <c r="U9" i="72" s="1"/>
  <c r="D10" i="72"/>
  <c r="D11" i="72"/>
  <c r="D12" i="72"/>
  <c r="D13" i="72"/>
  <c r="U13" i="72" s="1"/>
  <c r="D14" i="72"/>
  <c r="U14" i="72" s="1"/>
  <c r="D15" i="72"/>
  <c r="U15" i="72" s="1"/>
  <c r="D16" i="72"/>
  <c r="D17" i="72"/>
  <c r="D18" i="72"/>
  <c r="U18" i="72" s="1"/>
  <c r="D19" i="72"/>
  <c r="U19" i="72" s="1"/>
  <c r="D20" i="72"/>
  <c r="U20" i="72" s="1"/>
  <c r="D21" i="72"/>
  <c r="U21" i="72" s="1"/>
  <c r="D22" i="72"/>
  <c r="U22" i="72" s="1"/>
  <c r="D23" i="72"/>
  <c r="U23" i="72" s="1"/>
  <c r="D24" i="72"/>
  <c r="U24" i="72" s="1"/>
  <c r="D25" i="72"/>
  <c r="D26" i="72"/>
  <c r="U26" i="72" s="1"/>
  <c r="D27" i="72"/>
  <c r="D28" i="72"/>
  <c r="U28" i="72" s="1"/>
  <c r="D29" i="72"/>
  <c r="U29" i="72" s="1"/>
  <c r="D30" i="72"/>
  <c r="D31" i="72"/>
  <c r="D32" i="72"/>
  <c r="U32" i="72" s="1"/>
  <c r="D33" i="72"/>
  <c r="U33" i="72" s="1"/>
  <c r="D34" i="72"/>
  <c r="U34" i="72" s="1"/>
  <c r="D35" i="72"/>
  <c r="D36" i="72"/>
  <c r="D37" i="72"/>
  <c r="U37" i="72" s="1"/>
  <c r="D38" i="72"/>
  <c r="U38" i="72" s="1"/>
  <c r="D39" i="72"/>
  <c r="U39" i="72" s="1"/>
  <c r="D40" i="72"/>
  <c r="D41" i="72"/>
  <c r="U41" i="72" s="1"/>
  <c r="D42" i="72"/>
  <c r="U42" i="72" s="1"/>
  <c r="D43" i="72"/>
  <c r="D44" i="72"/>
  <c r="U44" i="72" s="1"/>
  <c r="D45" i="72"/>
  <c r="U45" i="72" s="1"/>
  <c r="D46" i="72"/>
  <c r="U46" i="72" s="1"/>
  <c r="D47" i="72"/>
  <c r="U47" i="72" s="1"/>
  <c r="D48" i="72"/>
  <c r="U48" i="72" s="1"/>
  <c r="D49" i="72"/>
  <c r="U49" i="72" s="1"/>
  <c r="D50" i="72"/>
  <c r="U50" i="72" s="1"/>
  <c r="D51" i="72"/>
  <c r="U51" i="72" s="1"/>
  <c r="E121" i="22" l="1"/>
  <c r="I121" i="22" s="1"/>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54" i="72"/>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U10" i="72"/>
  <c r="G478" i="64"/>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3" i="17"/>
  <c r="F467" i="64"/>
  <c r="G467" i="64" s="1"/>
  <c r="H123" i="7"/>
  <c r="T121" i="7"/>
  <c r="F475" i="64"/>
  <c r="G475" i="64" s="1"/>
  <c r="F466" i="64"/>
  <c r="G466" i="64" s="1"/>
  <c r="E105" i="16"/>
  <c r="F474" i="64"/>
  <c r="G474" i="64" s="1"/>
  <c r="I114" i="16"/>
  <c r="T114" i="16"/>
  <c r="U114" i="16" s="1"/>
  <c r="I122" i="17"/>
  <c r="I123" i="17"/>
  <c r="F462" i="64"/>
  <c r="G462" i="64" s="1"/>
  <c r="F463" i="64"/>
  <c r="G463" i="64" s="1"/>
  <c r="F464" i="64"/>
  <c r="G464" i="64" s="1"/>
  <c r="F460" i="64"/>
  <c r="G460" i="64" s="1"/>
  <c r="F472" i="64"/>
  <c r="G472" i="64" s="1"/>
  <c r="G471" i="64"/>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12" i="60" l="1"/>
  <c r="I111" i="60"/>
  <c r="H19" i="35"/>
  <c r="I19" i="35" s="1"/>
  <c r="G469" i="64"/>
  <c r="F480" i="64"/>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I24" i="60" s="1"/>
  <c r="H24" i="60"/>
  <c r="I29" i="7"/>
  <c r="I26" i="7"/>
  <c r="I26" i="60" s="1"/>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E15" i="60"/>
  <c r="I44" i="38"/>
  <c r="E44" i="39"/>
  <c r="I44" i="25"/>
  <c r="E30" i="34"/>
  <c r="H17" i="71"/>
  <c r="I17" i="71" s="1"/>
  <c r="E44" i="69"/>
  <c r="P105" i="28"/>
  <c r="P104" i="28"/>
  <c r="E44" i="21"/>
  <c r="I44" i="21"/>
  <c r="H19" i="32"/>
  <c r="I19" i="32" s="1"/>
  <c r="H14" i="52"/>
  <c r="E14" i="60"/>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E21" i="60"/>
  <c r="E27" i="60"/>
  <c r="H28" i="60"/>
  <c r="E28" i="60"/>
  <c r="E18" i="60"/>
  <c r="I44" i="16"/>
  <c r="H15" i="22"/>
  <c r="I15" i="22" s="1"/>
  <c r="I43" i="60"/>
  <c r="E43" i="60"/>
  <c r="H17" i="18"/>
  <c r="I17" i="18" s="1"/>
  <c r="H23" i="16"/>
  <c r="H23" i="60" s="1"/>
  <c r="E23" i="60"/>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E29" i="60"/>
  <c r="H17" i="24"/>
  <c r="I17" i="24" s="1"/>
  <c r="H15" i="21"/>
  <c r="I15" i="21" s="1"/>
  <c r="I123" i="25"/>
  <c r="I124" i="25" s="1"/>
  <c r="T123" i="25"/>
  <c r="E16" i="60"/>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C69" i="7" s="1"/>
  <c r="H70" i="7" s="1"/>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E19" i="60"/>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17" i="60"/>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E26" i="60"/>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C106" i="76"/>
  <c r="H106" i="76"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25" i="60"/>
  <c r="E44" i="60"/>
  <c r="C106" i="7" l="1"/>
  <c r="C105" i="7"/>
  <c r="C104" i="40"/>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O6" i="72"/>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I20" i="60"/>
  <c r="C104" i="52"/>
  <c r="H104" i="52" s="1"/>
  <c r="I14" i="52"/>
  <c r="I30" i="52" s="1"/>
  <c r="I28" i="60"/>
  <c r="I23" i="16"/>
  <c r="I25" i="16"/>
  <c r="I25" i="60" s="1"/>
  <c r="I40" i="60"/>
  <c r="C106" i="70"/>
  <c r="H106" i="70" s="1"/>
  <c r="C69" i="34"/>
  <c r="H70" i="34" s="1"/>
  <c r="I30" i="76"/>
  <c r="I30" i="71"/>
  <c r="I27" i="60"/>
  <c r="I42" i="60"/>
  <c r="I46" i="43"/>
  <c r="C106" i="78"/>
  <c r="H106" i="78" s="1"/>
  <c r="C105" i="57"/>
  <c r="H105" i="57" s="1"/>
  <c r="H30" i="76"/>
  <c r="C105" i="76"/>
  <c r="H105" i="76" s="1"/>
  <c r="C106" i="52"/>
  <c r="H106" i="52" s="1"/>
  <c r="H30" i="52"/>
  <c r="O37" i="72"/>
  <c r="C69" i="52"/>
  <c r="H70" i="52" s="1"/>
  <c r="H98" i="52" s="1"/>
  <c r="I98" i="52" s="1"/>
  <c r="O21" i="72"/>
  <c r="H133" i="32"/>
  <c r="U126" i="32" s="1"/>
  <c r="C69" i="32"/>
  <c r="H70" i="32" s="1"/>
  <c r="H98" i="32" s="1"/>
  <c r="I98" i="32" s="1"/>
  <c r="C105" i="68"/>
  <c r="H105" i="68" s="1"/>
  <c r="C106" i="32"/>
  <c r="H106" i="32" s="1"/>
  <c r="C105" i="71"/>
  <c r="H105" i="71" s="1"/>
  <c r="H30" i="71"/>
  <c r="O52" i="72"/>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I21" i="60"/>
  <c r="C105" i="45"/>
  <c r="H105" i="45" s="1"/>
  <c r="C69" i="35"/>
  <c r="H70" i="35" s="1"/>
  <c r="H98" i="35" s="1"/>
  <c r="I98" i="35" s="1"/>
  <c r="O22" i="72"/>
  <c r="H30" i="58"/>
  <c r="I30" i="58"/>
  <c r="C104" i="58"/>
  <c r="C69" i="40"/>
  <c r="H70" i="40" s="1"/>
  <c r="H98" i="40" s="1"/>
  <c r="I98" i="40" s="1"/>
  <c r="O28" i="72"/>
  <c r="I30" i="68"/>
  <c r="C104" i="68"/>
  <c r="H30" i="68"/>
  <c r="I39" i="60"/>
  <c r="I18" i="60"/>
  <c r="I30" i="55"/>
  <c r="C106" i="16"/>
  <c r="H106" i="16" s="1"/>
  <c r="C69" i="33"/>
  <c r="H70" i="33" s="1"/>
  <c r="H98" i="33" s="1"/>
  <c r="I98" i="33" s="1"/>
  <c r="O20" i="72"/>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O40" i="72"/>
  <c r="C105" i="20"/>
  <c r="H105" i="20" s="1"/>
  <c r="C69" i="66"/>
  <c r="H70" i="66" s="1"/>
  <c r="H98" i="66" s="1"/>
  <c r="I98" i="66" s="1"/>
  <c r="O44" i="72"/>
  <c r="E34" i="62"/>
  <c r="E38" i="62" s="1"/>
  <c r="C106" i="50"/>
  <c r="H106" i="50" s="1"/>
  <c r="C105" i="70"/>
  <c r="H105" i="70" s="1"/>
  <c r="C69" i="70"/>
  <c r="H70" i="70" s="1"/>
  <c r="H98" i="70" s="1"/>
  <c r="I98" i="70" s="1"/>
  <c r="O47" i="72"/>
  <c r="C69" i="25"/>
  <c r="H70" i="25" s="1"/>
  <c r="H98" i="25" s="1"/>
  <c r="I98" i="25" s="1"/>
  <c r="O12" i="72"/>
  <c r="H30" i="17"/>
  <c r="C104" i="17"/>
  <c r="C69" i="50"/>
  <c r="H70" i="50" s="1"/>
  <c r="H98" i="50" s="1"/>
  <c r="I98" i="50" s="1"/>
  <c r="O35" i="72"/>
  <c r="C69" i="31"/>
  <c r="H70" i="31" s="1"/>
  <c r="H98" i="31" s="1"/>
  <c r="I98" i="31" s="1"/>
  <c r="O18" i="72"/>
  <c r="C69" i="45"/>
  <c r="H70" i="45" s="1"/>
  <c r="H98" i="45" s="1"/>
  <c r="I98" i="45" s="1"/>
  <c r="O32" i="72"/>
  <c r="H30" i="23"/>
  <c r="C104" i="23"/>
  <c r="C69" i="18"/>
  <c r="H70" i="18" s="1"/>
  <c r="H98" i="18" s="1"/>
  <c r="I98" i="18" s="1"/>
  <c r="O9" i="72"/>
  <c r="I30" i="27"/>
  <c r="C104" i="27"/>
  <c r="H30" i="27"/>
  <c r="I30" i="56"/>
  <c r="O8" i="72"/>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O46" i="72"/>
  <c r="H30" i="45"/>
  <c r="I30" i="45"/>
  <c r="C104" i="45"/>
  <c r="C69" i="23"/>
  <c r="H70" i="23" s="1"/>
  <c r="H98" i="23" s="1"/>
  <c r="I98" i="23" s="1"/>
  <c r="O23" i="72"/>
  <c r="H30" i="78"/>
  <c r="I30" i="78"/>
  <c r="C104" i="78"/>
  <c r="C69" i="51"/>
  <c r="H70" i="51" s="1"/>
  <c r="H98" i="51" s="1"/>
  <c r="I98" i="51" s="1"/>
  <c r="O36" i="72"/>
  <c r="C69" i="28"/>
  <c r="H70" i="28" s="1"/>
  <c r="H98" i="28" s="1"/>
  <c r="I98" i="28" s="1"/>
  <c r="O17" i="72"/>
  <c r="C69" i="56"/>
  <c r="H70" i="56" s="1"/>
  <c r="H98" i="56" s="1"/>
  <c r="I98" i="56" s="1"/>
  <c r="O41" i="72"/>
  <c r="C105" i="38"/>
  <c r="H105" i="38" s="1"/>
  <c r="C69" i="42"/>
  <c r="H70" i="42" s="1"/>
  <c r="H98" i="42" s="1"/>
  <c r="I98" i="42" s="1"/>
  <c r="O29" i="72"/>
  <c r="C69" i="75"/>
  <c r="H70" i="75" s="1"/>
  <c r="H98" i="75" s="1"/>
  <c r="I98" i="75" s="1"/>
  <c r="O38" i="72"/>
  <c r="C69" i="30"/>
  <c r="H70" i="30" s="1"/>
  <c r="H98" i="30" s="1"/>
  <c r="I98" i="30" s="1"/>
  <c r="C69" i="24"/>
  <c r="H70" i="24" s="1"/>
  <c r="H98" i="24" s="1"/>
  <c r="I98" i="24" s="1"/>
  <c r="O13" i="72"/>
  <c r="C105" i="32"/>
  <c r="H105" i="32" s="1"/>
  <c r="C69" i="27"/>
  <c r="H70" i="27" s="1"/>
  <c r="H98" i="27" s="1"/>
  <c r="I98" i="27" s="1"/>
  <c r="O16" i="72"/>
  <c r="C69" i="44"/>
  <c r="H70" i="44" s="1"/>
  <c r="H98" i="44" s="1"/>
  <c r="I98" i="44" s="1"/>
  <c r="O31" i="72"/>
  <c r="C105" i="67"/>
  <c r="H105" i="67" s="1"/>
  <c r="C69" i="78"/>
  <c r="H70" i="78" s="1"/>
  <c r="H98" i="78" s="1"/>
  <c r="I98" i="78" s="1"/>
  <c r="O51" i="72"/>
  <c r="C105" i="66"/>
  <c r="H105" i="66" s="1"/>
  <c r="C105" i="31"/>
  <c r="H105" i="31" s="1"/>
  <c r="C106" i="77"/>
  <c r="H106" i="77" s="1"/>
  <c r="H30" i="51"/>
  <c r="I30" i="51"/>
  <c r="C104" i="51"/>
  <c r="C104" i="16"/>
  <c r="H30" i="16"/>
  <c r="I30" i="28"/>
  <c r="C104" i="28"/>
  <c r="H30" i="28"/>
  <c r="E30" i="60"/>
  <c r="C69" i="39"/>
  <c r="H70" i="39" s="1"/>
  <c r="H98" i="39" s="1"/>
  <c r="I98" i="39" s="1"/>
  <c r="O27" i="72"/>
  <c r="I30" i="24"/>
  <c r="C104" i="24"/>
  <c r="H30" i="24"/>
  <c r="C106" i="67"/>
  <c r="H106" i="67" s="1"/>
  <c r="H30" i="26"/>
  <c r="C104" i="26"/>
  <c r="I30" i="44"/>
  <c r="C105" i="44"/>
  <c r="H105" i="44" s="1"/>
  <c r="H30" i="44"/>
  <c r="H30" i="77"/>
  <c r="I30" i="77"/>
  <c r="C104" i="77"/>
  <c r="C69" i="16"/>
  <c r="H70" i="16" s="1"/>
  <c r="H98" i="16" s="1"/>
  <c r="I98" i="16" s="1"/>
  <c r="O7" i="72"/>
  <c r="C69" i="47"/>
  <c r="H70" i="47" s="1"/>
  <c r="H98" i="47" s="1"/>
  <c r="I98" i="47" s="1"/>
  <c r="O33" i="72"/>
  <c r="I30" i="21"/>
  <c r="C106" i="21"/>
  <c r="H106" i="21" s="1"/>
  <c r="H104" i="40"/>
  <c r="C106" i="20"/>
  <c r="H106" i="20" s="1"/>
  <c r="C69" i="37"/>
  <c r="H70" i="37" s="1"/>
  <c r="H98" i="37" s="1"/>
  <c r="I98" i="37" s="1"/>
  <c r="O25" i="72"/>
  <c r="C69" i="26"/>
  <c r="H70" i="26" s="1"/>
  <c r="H98" i="26" s="1"/>
  <c r="I98" i="26" s="1"/>
  <c r="O15" i="72"/>
  <c r="C69" i="43"/>
  <c r="H70" i="43" s="1"/>
  <c r="H98" i="43" s="1"/>
  <c r="I98" i="43" s="1"/>
  <c r="O30" i="72"/>
  <c r="H30" i="38"/>
  <c r="I30" i="38"/>
  <c r="C104" i="38"/>
  <c r="C105" i="21"/>
  <c r="H105" i="21" s="1"/>
  <c r="C105" i="78"/>
  <c r="H105" i="78" s="1"/>
  <c r="C105" i="30"/>
  <c r="H105" i="30" s="1"/>
  <c r="C69" i="77"/>
  <c r="H70" i="77" s="1"/>
  <c r="H98" i="77" s="1"/>
  <c r="I98" i="77" s="1"/>
  <c r="O50" i="72"/>
  <c r="H30" i="40"/>
  <c r="I30" i="47"/>
  <c r="H30" i="47"/>
  <c r="C104" i="47"/>
  <c r="C105" i="37"/>
  <c r="H105" i="37" s="1"/>
  <c r="C69" i="67"/>
  <c r="H70" i="67" s="1"/>
  <c r="H98" i="67" s="1"/>
  <c r="I98" i="67" s="1"/>
  <c r="O45" i="72"/>
  <c r="H30" i="37"/>
  <c r="I30" i="37"/>
  <c r="C104" i="37"/>
  <c r="I22" i="60"/>
  <c r="C69" i="38"/>
  <c r="H70" i="38" s="1"/>
  <c r="H98" i="38" s="1"/>
  <c r="I98" i="38" s="1"/>
  <c r="O26" i="72"/>
  <c r="H30" i="7"/>
  <c r="C106" i="17"/>
  <c r="H106" i="17" s="1"/>
  <c r="C106" i="66"/>
  <c r="H106" i="66" s="1"/>
  <c r="C105" i="40"/>
  <c r="H105" i="40" s="1"/>
  <c r="C104" i="67"/>
  <c r="H30" i="67"/>
  <c r="H30" i="32"/>
  <c r="C104" i="32"/>
  <c r="C105" i="18"/>
  <c r="H105" i="18" s="1"/>
  <c r="I30" i="36"/>
  <c r="C104" i="36"/>
  <c r="H30" i="36"/>
  <c r="C69" i="48"/>
  <c r="H70" i="48" s="1"/>
  <c r="H98" i="48" s="1"/>
  <c r="I98" i="48" s="1"/>
  <c r="O34" i="72"/>
  <c r="C104" i="20"/>
  <c r="H30" i="20"/>
  <c r="C69" i="76"/>
  <c r="H70" i="76" s="1"/>
  <c r="H98" i="76" s="1"/>
  <c r="I98" i="76" s="1"/>
  <c r="O39" i="72"/>
  <c r="C69" i="71"/>
  <c r="H70" i="71" s="1"/>
  <c r="H98" i="71" s="1"/>
  <c r="I98" i="71" s="1"/>
  <c r="O48" i="72"/>
  <c r="C106" i="18"/>
  <c r="H106" i="18" s="1"/>
  <c r="C104" i="57"/>
  <c r="H30" i="57"/>
  <c r="I30" i="57"/>
  <c r="I30" i="69"/>
  <c r="C105" i="69"/>
  <c r="H30" i="69"/>
  <c r="C69" i="22"/>
  <c r="H70" i="22" s="1"/>
  <c r="H98" i="22" s="1"/>
  <c r="I98" i="22" s="1"/>
  <c r="O14" i="72"/>
  <c r="I30" i="39"/>
  <c r="C104" i="39"/>
  <c r="H30" i="39"/>
  <c r="C106" i="58"/>
  <c r="H106" i="58" s="1"/>
  <c r="O19" i="72"/>
  <c r="H30" i="18"/>
  <c r="C104" i="18"/>
  <c r="H30" i="55"/>
  <c r="C106" i="38"/>
  <c r="H106" i="38" s="1"/>
  <c r="C69" i="36"/>
  <c r="H70" i="36" s="1"/>
  <c r="H98" i="36" s="1"/>
  <c r="I98" i="36" s="1"/>
  <c r="O24" i="72"/>
  <c r="I30" i="48"/>
  <c r="C106" i="48"/>
  <c r="H106" i="48" s="1"/>
  <c r="C105" i="26"/>
  <c r="H105" i="26" s="1"/>
  <c r="H30" i="48"/>
  <c r="I124" i="7"/>
  <c r="H30" i="34"/>
  <c r="E45" i="60"/>
  <c r="C69" i="21"/>
  <c r="H70" i="21" s="1"/>
  <c r="H98" i="21" s="1"/>
  <c r="I98" i="21" s="1"/>
  <c r="O11" i="72"/>
  <c r="C69" i="20"/>
  <c r="H70" i="20" s="1"/>
  <c r="H98" i="20" s="1"/>
  <c r="I98" i="20" s="1"/>
  <c r="O10" i="72"/>
  <c r="C69" i="58"/>
  <c r="H70" i="58" s="1"/>
  <c r="H98" i="58" s="1"/>
  <c r="I98" i="58" s="1"/>
  <c r="O43" i="72"/>
  <c r="C69" i="57"/>
  <c r="H70" i="57" s="1"/>
  <c r="H98" i="57" s="1"/>
  <c r="I98" i="57" s="1"/>
  <c r="O42" i="72"/>
  <c r="H30" i="22"/>
  <c r="C104" i="22"/>
  <c r="I30" i="22"/>
  <c r="C69" i="68"/>
  <c r="H70" i="68" s="1"/>
  <c r="H98" i="68" s="1"/>
  <c r="I98" i="68" s="1"/>
  <c r="O49" i="72"/>
  <c r="C106" i="40"/>
  <c r="H106" i="40" s="1"/>
  <c r="C106" i="26"/>
  <c r="H106" i="26" s="1"/>
  <c r="C104" i="55"/>
  <c r="H79" i="24" l="1"/>
  <c r="H85" i="24" s="1"/>
  <c r="I85" i="24" s="1"/>
  <c r="C102" i="60"/>
  <c r="H88" i="34"/>
  <c r="I88" i="34" s="1"/>
  <c r="H98" i="34"/>
  <c r="I98" i="34" s="1"/>
  <c r="C103" i="60"/>
  <c r="H104" i="60"/>
  <c r="C104" i="60"/>
  <c r="E46" i="43"/>
  <c r="C107" i="33"/>
  <c r="I107" i="33"/>
  <c r="C72" i="33"/>
  <c r="H73" i="33" s="1"/>
  <c r="I107" i="34"/>
  <c r="U126" i="7"/>
  <c r="E6" i="72"/>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E52" i="72"/>
  <c r="V52" i="72" s="1"/>
  <c r="P113" i="52"/>
  <c r="U113" i="52" s="1"/>
  <c r="E37" i="72"/>
  <c r="V37" i="72" s="1"/>
  <c r="H30" i="60"/>
  <c r="E47" i="60" s="1"/>
  <c r="P41" i="34"/>
  <c r="U41" i="34" s="1"/>
  <c r="P21" i="52"/>
  <c r="T21" i="52" s="1"/>
  <c r="U21" i="52" s="1"/>
  <c r="P15" i="34"/>
  <c r="T15" i="34" s="1"/>
  <c r="U15" i="34" s="1"/>
  <c r="P19" i="52"/>
  <c r="T19" i="52" s="1"/>
  <c r="U19" i="52" s="1"/>
  <c r="H79" i="7"/>
  <c r="H85" i="7" s="1"/>
  <c r="H76" i="7"/>
  <c r="H92" i="7" s="1"/>
  <c r="I92" i="7" s="1"/>
  <c r="H105" i="7"/>
  <c r="H82" i="7"/>
  <c r="H90" i="7" s="1"/>
  <c r="I90" i="7" s="1"/>
  <c r="I46" i="76"/>
  <c r="I46" i="39"/>
  <c r="P121" i="34"/>
  <c r="U121" i="34" s="1"/>
  <c r="P24" i="34"/>
  <c r="T24" i="34" s="1"/>
  <c r="U24" i="34" s="1"/>
  <c r="I46" i="47"/>
  <c r="C107" i="43"/>
  <c r="I46" i="51"/>
  <c r="P14" i="52"/>
  <c r="P23" i="52"/>
  <c r="T23" i="52" s="1"/>
  <c r="U23" i="52" s="1"/>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E21" i="72"/>
  <c r="V21" i="72" s="1"/>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23" i="60"/>
  <c r="I85" i="34"/>
  <c r="I92" i="34"/>
  <c r="I90" i="34"/>
  <c r="I90" i="52"/>
  <c r="I107" i="71"/>
  <c r="I30" i="32"/>
  <c r="C107" i="71"/>
  <c r="I107" i="52"/>
  <c r="C107" i="52"/>
  <c r="C107" i="76"/>
  <c r="I92" i="52"/>
  <c r="I85" i="52"/>
  <c r="H88" i="52"/>
  <c r="I88" i="52" s="1"/>
  <c r="I107" i="76"/>
  <c r="I45" i="60"/>
  <c r="I16" i="60"/>
  <c r="C107" i="7"/>
  <c r="I30" i="7"/>
  <c r="C107" i="34"/>
  <c r="I46" i="75"/>
  <c r="I30" i="67"/>
  <c r="C107" i="21"/>
  <c r="I107" i="44"/>
  <c r="I19" i="60"/>
  <c r="I17" i="60"/>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E39" i="72"/>
  <c r="V39" i="72" s="1"/>
  <c r="C107" i="4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E47" i="72"/>
  <c r="V47" i="72"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E22" i="72"/>
  <c r="V22" i="72"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E38" i="72"/>
  <c r="V38" i="72"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E17" i="72"/>
  <c r="V17" i="72"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E35" i="72"/>
  <c r="V35" i="72"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E25" i="72"/>
  <c r="V25" i="72"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E33" i="72"/>
  <c r="V33" i="72"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E27" i="72"/>
  <c r="V27" i="72"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E31" i="72"/>
  <c r="V31" i="72"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E29" i="72"/>
  <c r="V29" i="7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E8" i="72"/>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E32" i="72"/>
  <c r="V32" i="72"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E28" i="72"/>
  <c r="V28" i="72"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E11" i="72"/>
  <c r="V11" i="72"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E49" i="72"/>
  <c r="V49" i="72"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E30" i="72"/>
  <c r="V30" i="72"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E46" i="72"/>
  <c r="V46" i="72"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E40" i="72"/>
  <c r="V40" i="72"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E45" i="72"/>
  <c r="V45" i="72"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E16" i="72"/>
  <c r="V16" i="72"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E36" i="72"/>
  <c r="V36" i="72"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E18" i="72"/>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E44" i="72"/>
  <c r="V44" i="72"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E43" i="72"/>
  <c r="V43" i="72" s="1"/>
  <c r="I15" i="60"/>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E26" i="72"/>
  <c r="V26" i="72" s="1"/>
  <c r="H88" i="67"/>
  <c r="I88" i="67" s="1"/>
  <c r="I90" i="67"/>
  <c r="I92" i="67"/>
  <c r="I85" i="67"/>
  <c r="H88" i="77"/>
  <c r="I88" i="77" s="1"/>
  <c r="I85" i="77"/>
  <c r="I90" i="77"/>
  <c r="I92" i="77"/>
  <c r="I14" i="60"/>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E7" i="72"/>
  <c r="V7" i="72"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E10" i="72"/>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E14" i="72"/>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E48" i="72"/>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E34" i="72"/>
  <c r="V34" i="72"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E23" i="72"/>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E9" i="72"/>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E12" i="72"/>
  <c r="V12" i="72"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E20" i="72"/>
  <c r="V20" i="72"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E42" i="72"/>
  <c r="V42" i="72"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E50" i="72"/>
  <c r="V50" i="72"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E15" i="72"/>
  <c r="I85" i="16"/>
  <c r="I90" i="16"/>
  <c r="I92" i="16"/>
  <c r="H88" i="16"/>
  <c r="I88" i="16" s="1"/>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E51" i="72"/>
  <c r="V51" i="72" s="1"/>
  <c r="I30" i="30"/>
  <c r="C107" i="31"/>
  <c r="H104" i="31"/>
  <c r="I107" i="31" s="1"/>
  <c r="H104" i="23"/>
  <c r="I107" i="23" s="1"/>
  <c r="C107" i="23"/>
  <c r="O54" i="72"/>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E24" i="72"/>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E41" i="72"/>
  <c r="V41" i="72"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E19" i="72"/>
  <c r="V19" i="7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E13" i="72"/>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V6" i="72"/>
  <c r="H96" i="56" l="1"/>
  <c r="I96" i="56" s="1"/>
  <c r="I128" i="56" s="1"/>
  <c r="H102" i="60"/>
  <c r="H103" i="60"/>
  <c r="H88" i="7"/>
  <c r="I88" i="7" s="1"/>
  <c r="I89" i="60" s="1"/>
  <c r="H98" i="7"/>
  <c r="I98" i="7" s="1"/>
  <c r="I86" i="60"/>
  <c r="C74" i="60"/>
  <c r="H75" i="60" s="1"/>
  <c r="I52" i="38"/>
  <c r="I52" i="22"/>
  <c r="I51" i="69"/>
  <c r="I51" i="37"/>
  <c r="I52" i="76"/>
  <c r="I51" i="36"/>
  <c r="I51" i="68"/>
  <c r="I52" i="48"/>
  <c r="I52" i="58"/>
  <c r="I51" i="40"/>
  <c r="I52" i="25"/>
  <c r="I51" i="56"/>
  <c r="I51" i="52"/>
  <c r="I51" i="42"/>
  <c r="I52" i="21"/>
  <c r="I52" i="31"/>
  <c r="I51" i="45"/>
  <c r="I51" i="27"/>
  <c r="I51" i="24"/>
  <c r="I51" i="51"/>
  <c r="I51" i="25"/>
  <c r="I51" i="55"/>
  <c r="I52" i="50"/>
  <c r="I52" i="45"/>
  <c r="I52" i="77"/>
  <c r="I52" i="47"/>
  <c r="I51" i="71"/>
  <c r="I52" i="78"/>
  <c r="I52" i="28"/>
  <c r="I51" i="57"/>
  <c r="I52" i="44"/>
  <c r="I51" i="34"/>
  <c r="I52" i="35"/>
  <c r="I52" i="39"/>
  <c r="I51" i="39"/>
  <c r="I51" i="50"/>
  <c r="I51" i="76"/>
  <c r="I52" i="40"/>
  <c r="I51" i="38"/>
  <c r="I53" i="38" s="1"/>
  <c r="I52" i="55"/>
  <c r="U124" i="34"/>
  <c r="I51" i="28"/>
  <c r="U124" i="52"/>
  <c r="U44" i="34"/>
  <c r="O105" i="52"/>
  <c r="T105" i="52" s="1"/>
  <c r="I52" i="37"/>
  <c r="I51" i="77"/>
  <c r="I52" i="69"/>
  <c r="I51" i="31"/>
  <c r="I52" i="34"/>
  <c r="I51" i="58"/>
  <c r="I51" i="47"/>
  <c r="O105" i="34"/>
  <c r="T105" i="34" s="1"/>
  <c r="C105" i="60"/>
  <c r="I51" i="78"/>
  <c r="I52" i="24"/>
  <c r="I52" i="51"/>
  <c r="I52" i="57"/>
  <c r="I91" i="60"/>
  <c r="I93" i="60"/>
  <c r="O106" i="34"/>
  <c r="T106" i="34" s="1"/>
  <c r="P30" i="34"/>
  <c r="P78" i="34" s="1"/>
  <c r="T79" i="34" s="1"/>
  <c r="T85" i="34" s="1"/>
  <c r="U85" i="34" s="1"/>
  <c r="P30" i="52"/>
  <c r="P69" i="52" s="1"/>
  <c r="T70" i="52" s="1"/>
  <c r="I52" i="36"/>
  <c r="I53" i="36" s="1"/>
  <c r="I51" i="44"/>
  <c r="R44" i="34"/>
  <c r="I52" i="68"/>
  <c r="I52" i="52"/>
  <c r="I52" i="56"/>
  <c r="I52" i="27"/>
  <c r="U44" i="52"/>
  <c r="I46" i="17"/>
  <c r="O106" i="52"/>
  <c r="T106" i="52" s="1"/>
  <c r="I46" i="66"/>
  <c r="I52" i="71"/>
  <c r="T14" i="52"/>
  <c r="U14" i="52" s="1"/>
  <c r="U30" i="52" s="1"/>
  <c r="I46" i="67"/>
  <c r="I52" i="42"/>
  <c r="I51" i="21"/>
  <c r="I46" i="18"/>
  <c r="R44" i="52"/>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O55" i="72"/>
  <c r="U124" i="42"/>
  <c r="U124" i="68"/>
  <c r="U124" i="55"/>
  <c r="U124" i="20"/>
  <c r="U124" i="44"/>
  <c r="U124" i="75"/>
  <c r="U124" i="25"/>
  <c r="U124" i="30"/>
  <c r="U124" i="16"/>
  <c r="I30" i="60"/>
  <c r="I32" i="60" s="1"/>
  <c r="I47" i="60" s="1"/>
  <c r="E54" i="72"/>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71" l="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I52" i="67"/>
  <c r="I52" i="70"/>
  <c r="I52" i="23"/>
  <c r="I51" i="66"/>
  <c r="I51" i="20"/>
  <c r="I53" i="28"/>
  <c r="I52" i="26"/>
  <c r="I51" i="17"/>
  <c r="I52" i="32"/>
  <c r="I128"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P75" i="52"/>
  <c r="T76" i="52" s="1"/>
  <c r="T92" i="52" s="1"/>
  <c r="U92" i="52" s="1"/>
  <c r="P81" i="52"/>
  <c r="T82" i="52" s="1"/>
  <c r="T90" i="52" s="1"/>
  <c r="U90" i="52" s="1"/>
  <c r="P78" i="52"/>
  <c r="T79" i="52" s="1"/>
  <c r="T85" i="52" s="1"/>
  <c r="U85" i="52" s="1"/>
  <c r="H95" i="60"/>
  <c r="H97" i="60"/>
  <c r="I52" i="66"/>
  <c r="I51" i="26"/>
  <c r="I51" i="32"/>
  <c r="I51" i="16"/>
  <c r="I51" i="23"/>
  <c r="U46" i="52"/>
  <c r="R51" i="52"/>
  <c r="U51" i="52" s="1"/>
  <c r="R52" i="52"/>
  <c r="U52" i="52" s="1"/>
  <c r="U46" i="34"/>
  <c r="R51" i="34"/>
  <c r="U51" i="34" s="1"/>
  <c r="R52" i="34"/>
  <c r="U52" i="34" s="1"/>
  <c r="I52" i="18"/>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I41" i="72"/>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T88" i="76" l="1"/>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J41" i="72"/>
  <c r="I128" i="50"/>
  <c r="I130" i="50" s="1"/>
  <c r="H135" i="50" s="1"/>
  <c r="I128" i="48"/>
  <c r="I130" i="48" s="1"/>
  <c r="H135" i="48" s="1"/>
  <c r="I6" i="72"/>
  <c r="Q6" i="72" s="1"/>
  <c r="I128" i="70"/>
  <c r="I128" i="26"/>
  <c r="I128" i="69"/>
  <c r="I46" i="72" s="1"/>
  <c r="I128" i="47"/>
  <c r="I130" i="47" s="1"/>
  <c r="H135" i="47" s="1"/>
  <c r="I135" i="47" s="1"/>
  <c r="I128" i="66"/>
  <c r="I128" i="30"/>
  <c r="I128" i="77"/>
  <c r="I130" i="77" s="1"/>
  <c r="H135" i="77" s="1"/>
  <c r="I128" i="34"/>
  <c r="I21" i="72" s="1"/>
  <c r="I128" i="27"/>
  <c r="I130" i="27" s="1"/>
  <c r="H135" i="27" s="1"/>
  <c r="I128" i="44"/>
  <c r="I130" i="44" s="1"/>
  <c r="H135" i="44" s="1"/>
  <c r="I128" i="28"/>
  <c r="I17" i="72" s="1"/>
  <c r="I53" i="70"/>
  <c r="I53" i="67"/>
  <c r="I128" i="20"/>
  <c r="I128" i="55"/>
  <c r="I130" i="55" s="1"/>
  <c r="H135" i="55" s="1"/>
  <c r="I135" i="55" s="1"/>
  <c r="I128" i="25"/>
  <c r="I128" i="21"/>
  <c r="I128" i="78"/>
  <c r="I51" i="72" s="1"/>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30" i="71" s="1"/>
  <c r="I128" i="45"/>
  <c r="I130" i="45" s="1"/>
  <c r="H135" i="45" s="1"/>
  <c r="I135" i="45" s="1"/>
  <c r="I128" i="51"/>
  <c r="I36" i="72" s="1"/>
  <c r="J36" i="72" s="1"/>
  <c r="I128" i="17"/>
  <c r="I128" i="18"/>
  <c r="I9" i="72" s="1"/>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30" i="72"/>
  <c r="I53" i="60"/>
  <c r="I20" i="72"/>
  <c r="J20" i="72" s="1"/>
  <c r="I53" i="7"/>
  <c r="I130" i="7" s="1"/>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9" i="72"/>
  <c r="K30" i="72"/>
  <c r="R30" i="72" s="1"/>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K20" i="72"/>
  <c r="I137" i="33"/>
  <c r="I141" i="33" s="1"/>
  <c r="I145" i="33" s="1"/>
  <c r="O107" i="20"/>
  <c r="U107" i="20"/>
  <c r="O107" i="36"/>
  <c r="U107" i="36"/>
  <c r="I147" i="33"/>
  <c r="O107" i="18"/>
  <c r="O107" i="78"/>
  <c r="U107" i="78"/>
  <c r="Q41" i="72"/>
  <c r="O107" i="30"/>
  <c r="U107" i="30"/>
  <c r="O107" i="51"/>
  <c r="U107" i="51"/>
  <c r="O107" i="75"/>
  <c r="U107" i="75"/>
  <c r="O107" i="40"/>
  <c r="U107" i="40"/>
  <c r="O107" i="70"/>
  <c r="U107" i="70"/>
  <c r="U107" i="44"/>
  <c r="O107" i="44"/>
  <c r="Q20" i="79" l="1"/>
  <c r="M30" i="72"/>
  <c r="Q30" i="79"/>
  <c r="J30" i="72"/>
  <c r="G30" i="72" s="1"/>
  <c r="L30" i="72"/>
  <c r="I130" i="66"/>
  <c r="H135" i="66" s="1"/>
  <c r="I135" i="66" s="1"/>
  <c r="K44" i="72" s="1"/>
  <c r="R44" i="72" s="1"/>
  <c r="I34" i="72"/>
  <c r="J34" i="72" s="1"/>
  <c r="J19" i="72"/>
  <c r="I40" i="72"/>
  <c r="J40" i="72" s="1"/>
  <c r="I31" i="72"/>
  <c r="J31" i="72" s="1"/>
  <c r="I33" i="72"/>
  <c r="J33" i="72" s="1"/>
  <c r="I130" i="28"/>
  <c r="H135" i="28" s="1"/>
  <c r="I39" i="72"/>
  <c r="J39" i="72" s="1"/>
  <c r="I29" i="72"/>
  <c r="J29" i="72" s="1"/>
  <c r="T96" i="28"/>
  <c r="U96" i="28" s="1"/>
  <c r="U128" i="28" s="1"/>
  <c r="J9" i="72"/>
  <c r="I147" i="45"/>
  <c r="I135" i="75"/>
  <c r="I147" i="75" s="1"/>
  <c r="I135" i="39"/>
  <c r="I147" i="39" s="1"/>
  <c r="I135" i="42"/>
  <c r="I147" i="42" s="1"/>
  <c r="I135" i="44"/>
  <c r="K31" i="72" s="1"/>
  <c r="I135" i="77"/>
  <c r="I137" i="77" s="1"/>
  <c r="I141" i="77" s="1"/>
  <c r="I145" i="77" s="1"/>
  <c r="I135" i="76"/>
  <c r="I147" i="76" s="1"/>
  <c r="I135" i="58"/>
  <c r="K43" i="72" s="1"/>
  <c r="R43" i="72" s="1"/>
  <c r="I135" i="35"/>
  <c r="I147" i="35" s="1"/>
  <c r="I135" i="48"/>
  <c r="I137" i="48" s="1"/>
  <c r="I141" i="48" s="1"/>
  <c r="I145" i="48" s="1"/>
  <c r="I130" i="51"/>
  <c r="H135" i="51" s="1"/>
  <c r="I135" i="27"/>
  <c r="I147" i="27" s="1"/>
  <c r="I135" i="50"/>
  <c r="I147" i="50" s="1"/>
  <c r="I135" i="37"/>
  <c r="I147" i="37" s="1"/>
  <c r="I27" i="72"/>
  <c r="J27" i="72" s="1"/>
  <c r="I22" i="72"/>
  <c r="J22" i="72" s="1"/>
  <c r="Q30" i="72"/>
  <c r="I43" i="72"/>
  <c r="J43" i="72" s="1"/>
  <c r="I130" i="78"/>
  <c r="H135" i="78" s="1"/>
  <c r="I55" i="60"/>
  <c r="I13" i="72"/>
  <c r="J13" i="72" s="1"/>
  <c r="I50" i="72"/>
  <c r="J50" i="72" s="1"/>
  <c r="I44" i="72"/>
  <c r="Q44" i="72" s="1"/>
  <c r="I25" i="72"/>
  <c r="J25" i="72" s="1"/>
  <c r="I14" i="72"/>
  <c r="J14" i="72" s="1"/>
  <c r="I130" i="34"/>
  <c r="H135" i="34" s="1"/>
  <c r="I135" i="34" s="1"/>
  <c r="I130" i="18"/>
  <c r="I16" i="72"/>
  <c r="J16" i="72" s="1"/>
  <c r="I38" i="72"/>
  <c r="J38" i="72" s="1"/>
  <c r="I26" i="72"/>
  <c r="J26" i="72" s="1"/>
  <c r="I130" i="38"/>
  <c r="H135" i="38" s="1"/>
  <c r="Q20" i="72"/>
  <c r="I48" i="72"/>
  <c r="J48" i="72" s="1"/>
  <c r="I32" i="72"/>
  <c r="U53" i="76"/>
  <c r="J17" i="72"/>
  <c r="U53" i="17"/>
  <c r="Q9" i="72"/>
  <c r="U53" i="66"/>
  <c r="Q46" i="72"/>
  <c r="J46" i="72"/>
  <c r="Q51" i="72"/>
  <c r="J51" i="72"/>
  <c r="U53" i="43"/>
  <c r="Q21" i="72"/>
  <c r="J21" i="72"/>
  <c r="I35" i="72"/>
  <c r="I42" i="72"/>
  <c r="I24" i="72"/>
  <c r="J24" i="72" s="1"/>
  <c r="I18" i="72"/>
  <c r="J18" i="72" s="1"/>
  <c r="I130" i="69"/>
  <c r="H135" i="69" s="1"/>
  <c r="Q36" i="72"/>
  <c r="Q17" i="72"/>
  <c r="U53" i="58"/>
  <c r="I37" i="72"/>
  <c r="J37" i="72" s="1"/>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I10" i="72"/>
  <c r="J10" i="72" s="1"/>
  <c r="U53" i="55"/>
  <c r="I130" i="70"/>
  <c r="H135" i="70" s="1"/>
  <c r="I47" i="72"/>
  <c r="J47" i="72" s="1"/>
  <c r="U53" i="39"/>
  <c r="I130" i="67"/>
  <c r="H135" i="67" s="1"/>
  <c r="I45" i="72"/>
  <c r="J45" i="72" s="1"/>
  <c r="U53" i="70"/>
  <c r="U53" i="71"/>
  <c r="U53" i="18"/>
  <c r="U53" i="24"/>
  <c r="U53" i="50"/>
  <c r="U53" i="68"/>
  <c r="U53" i="48"/>
  <c r="I130" i="17"/>
  <c r="I8" i="72"/>
  <c r="J8" i="72" s="1"/>
  <c r="U53" i="57"/>
  <c r="U53" i="16"/>
  <c r="U53" i="77"/>
  <c r="U53" i="47"/>
  <c r="U53" i="35"/>
  <c r="I130" i="68"/>
  <c r="H135" i="68" s="1"/>
  <c r="I49" i="72"/>
  <c r="J49" i="72" s="1"/>
  <c r="I130" i="23"/>
  <c r="I23" i="72"/>
  <c r="J23" i="72" s="1"/>
  <c r="I130" i="30"/>
  <c r="H135" i="30" s="1"/>
  <c r="I52" i="72"/>
  <c r="U53" i="26"/>
  <c r="U53" i="21"/>
  <c r="U53" i="25"/>
  <c r="I130" i="40"/>
  <c r="H135" i="40" s="1"/>
  <c r="I135" i="40" s="1"/>
  <c r="I28" i="72"/>
  <c r="J28" i="72" s="1"/>
  <c r="U53" i="32"/>
  <c r="I130" i="21"/>
  <c r="H135" i="21" s="1"/>
  <c r="I135" i="21" s="1"/>
  <c r="I11" i="72"/>
  <c r="J11" i="72" s="1"/>
  <c r="I130" i="26"/>
  <c r="I15" i="72"/>
  <c r="J15" i="72" s="1"/>
  <c r="U53" i="78"/>
  <c r="I130" i="25"/>
  <c r="H135" i="25" s="1"/>
  <c r="I135" i="25" s="1"/>
  <c r="I12" i="72"/>
  <c r="J12" i="72"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Q19" i="72"/>
  <c r="K42" i="72"/>
  <c r="I137" i="57"/>
  <c r="I141" i="57" s="1"/>
  <c r="I145" i="57" s="1"/>
  <c r="I147" i="57"/>
  <c r="E242" i="64"/>
  <c r="G242" i="64" s="1"/>
  <c r="F30" i="72"/>
  <c r="S30" i="72"/>
  <c r="U30" i="72" s="1"/>
  <c r="W30" i="72" s="1"/>
  <c r="G20" i="72"/>
  <c r="U17" i="72"/>
  <c r="E151" i="64"/>
  <c r="G151" i="64" s="1"/>
  <c r="M20" i="72"/>
  <c r="R20" i="72"/>
  <c r="F20" i="72"/>
  <c r="L20" i="72"/>
  <c r="S20" i="72" s="1"/>
  <c r="W20" i="72" s="1"/>
  <c r="K33" i="72"/>
  <c r="I137" i="47"/>
  <c r="I141" i="47" s="1"/>
  <c r="I145" i="47" s="1"/>
  <c r="I147" i="47"/>
  <c r="K40" i="72"/>
  <c r="I137" i="55"/>
  <c r="I141" i="55" s="1"/>
  <c r="I145" i="55" s="1"/>
  <c r="K41" i="72"/>
  <c r="G41" i="72" s="1"/>
  <c r="I137" i="56"/>
  <c r="I141" i="56" s="1"/>
  <c r="I145" i="56" s="1"/>
  <c r="I147" i="56"/>
  <c r="I147" i="55"/>
  <c r="K19" i="72"/>
  <c r="I137" i="32"/>
  <c r="I141" i="32" s="1"/>
  <c r="I145" i="32" s="1"/>
  <c r="I147" i="32"/>
  <c r="Q50" i="79" l="1"/>
  <c r="Q42" i="79"/>
  <c r="Q41" i="79"/>
  <c r="Q40" i="79"/>
  <c r="Q33" i="79"/>
  <c r="Q19" i="79"/>
  <c r="G40" i="72"/>
  <c r="J6" i="72"/>
  <c r="I135" i="67"/>
  <c r="I147" i="67" s="1"/>
  <c r="I147" i="66"/>
  <c r="M34" i="72"/>
  <c r="Q34" i="79"/>
  <c r="I135" i="28"/>
  <c r="I147" i="28" s="1"/>
  <c r="Q31" i="72"/>
  <c r="G33" i="72"/>
  <c r="J52" i="72"/>
  <c r="Q40" i="72"/>
  <c r="Q39" i="72"/>
  <c r="I137" i="76"/>
  <c r="I141" i="76" s="1"/>
  <c r="I145" i="76" s="1"/>
  <c r="I137" i="75"/>
  <c r="I141" i="75" s="1"/>
  <c r="I145" i="75" s="1"/>
  <c r="K35" i="72"/>
  <c r="R35" i="72" s="1"/>
  <c r="Q34" i="72"/>
  <c r="G19" i="72"/>
  <c r="Q33" i="72"/>
  <c r="K16" i="72"/>
  <c r="F16" i="72" s="1"/>
  <c r="I137" i="27"/>
  <c r="I141" i="27" s="1"/>
  <c r="I145" i="27" s="1"/>
  <c r="K29" i="72"/>
  <c r="G29" i="72" s="1"/>
  <c r="Q29" i="72"/>
  <c r="I137" i="42"/>
  <c r="I141" i="42" s="1"/>
  <c r="I145" i="42" s="1"/>
  <c r="I137" i="39"/>
  <c r="I141" i="39" s="1"/>
  <c r="I145" i="39" s="1"/>
  <c r="K27" i="72"/>
  <c r="G27" i="72" s="1"/>
  <c r="I137" i="37"/>
  <c r="I141" i="37" s="1"/>
  <c r="I145" i="37" s="1"/>
  <c r="I137" i="50"/>
  <c r="I141" i="50" s="1"/>
  <c r="I145" i="50" s="1"/>
  <c r="K38" i="72"/>
  <c r="R38" i="72" s="1"/>
  <c r="Q27" i="72"/>
  <c r="Q43" i="72"/>
  <c r="K39" i="72"/>
  <c r="G39" i="72" s="1"/>
  <c r="I147" i="77"/>
  <c r="K50" i="72"/>
  <c r="G50" i="72" s="1"/>
  <c r="I137" i="44"/>
  <c r="I141" i="44" s="1"/>
  <c r="I145" i="44" s="1"/>
  <c r="U130" i="28"/>
  <c r="I133" i="28" s="1"/>
  <c r="I147" i="44"/>
  <c r="K32" i="72"/>
  <c r="R32" i="72" s="1"/>
  <c r="I137" i="45"/>
  <c r="I141" i="45" s="1"/>
  <c r="I145" i="45" s="1"/>
  <c r="I137" i="35"/>
  <c r="I141" i="35" s="1"/>
  <c r="I145" i="35" s="1"/>
  <c r="I137" i="58"/>
  <c r="I141" i="58" s="1"/>
  <c r="I145" i="58" s="1"/>
  <c r="K22" i="72"/>
  <c r="G22" i="72" s="1"/>
  <c r="K25" i="72"/>
  <c r="R25" i="72" s="1"/>
  <c r="I147" i="48"/>
  <c r="R31" i="72"/>
  <c r="G31" i="72"/>
  <c r="F31" i="72"/>
  <c r="L31" i="72"/>
  <c r="S31" i="72" s="1"/>
  <c r="U31" i="72" s="1"/>
  <c r="W31" i="72" s="1"/>
  <c r="E422" i="64"/>
  <c r="G422" i="64" s="1"/>
  <c r="M50" i="72"/>
  <c r="I135" i="69"/>
  <c r="K46" i="72" s="1"/>
  <c r="I135" i="30"/>
  <c r="I137" i="30" s="1"/>
  <c r="I141" i="30" s="1"/>
  <c r="I145" i="30" s="1"/>
  <c r="I135" i="38"/>
  <c r="K26" i="72" s="1"/>
  <c r="I135" i="70"/>
  <c r="I147" i="70" s="1"/>
  <c r="I147" i="58"/>
  <c r="I135" i="68"/>
  <c r="I147" i="68" s="1"/>
  <c r="Q22" i="72"/>
  <c r="I137" i="66"/>
  <c r="I141" i="66" s="1"/>
  <c r="I145" i="66" s="1"/>
  <c r="K34" i="72"/>
  <c r="G34" i="72" s="1"/>
  <c r="I135" i="78"/>
  <c r="I147" i="78" s="1"/>
  <c r="I135" i="51"/>
  <c r="L44" i="72"/>
  <c r="S44" i="72" s="1"/>
  <c r="W44" i="72" s="1"/>
  <c r="F44" i="72"/>
  <c r="J44" i="72"/>
  <c r="G44" i="72" s="1"/>
  <c r="U128" i="34"/>
  <c r="U130" i="34" s="1"/>
  <c r="I133" i="34" s="1"/>
  <c r="U128" i="52"/>
  <c r="U130" i="52" s="1"/>
  <c r="I133" i="52" s="1"/>
  <c r="Q25" i="72"/>
  <c r="Q13" i="72"/>
  <c r="Q48" i="72"/>
  <c r="Q50" i="72"/>
  <c r="E277" i="64"/>
  <c r="G277" i="64" s="1"/>
  <c r="Q14" i="72"/>
  <c r="Q16" i="72"/>
  <c r="Q26" i="72"/>
  <c r="I147" i="34"/>
  <c r="Q38" i="72"/>
  <c r="J35" i="72"/>
  <c r="Q35" i="72"/>
  <c r="Q42" i="72"/>
  <c r="J42" i="72"/>
  <c r="G42" i="72" s="1"/>
  <c r="G43" i="72"/>
  <c r="J32" i="72"/>
  <c r="Q32" i="72"/>
  <c r="Q24" i="72"/>
  <c r="Q18" i="72"/>
  <c r="I147" i="52"/>
  <c r="K37" i="72"/>
  <c r="Q37" i="72"/>
  <c r="L43" i="72"/>
  <c r="S43" i="72" s="1"/>
  <c r="U43" i="72" s="1"/>
  <c r="W43" i="72" s="1"/>
  <c r="F43" i="72"/>
  <c r="I137" i="52"/>
  <c r="I141" i="52" s="1"/>
  <c r="T96" i="30"/>
  <c r="T96" i="58"/>
  <c r="T96" i="66"/>
  <c r="U96" i="66" s="1"/>
  <c r="Q47" i="72"/>
  <c r="Q15" i="72"/>
  <c r="Q10" i="72"/>
  <c r="Q52" i="72"/>
  <c r="T96" i="22"/>
  <c r="U96" i="22" s="1"/>
  <c r="Q11" i="72"/>
  <c r="Q23" i="72"/>
  <c r="Q8" i="72"/>
  <c r="Q45" i="72"/>
  <c r="I147" i="21"/>
  <c r="Q49" i="72"/>
  <c r="Q28" i="72"/>
  <c r="Q12" i="72"/>
  <c r="I147" i="40"/>
  <c r="K28" i="72"/>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R42" i="72"/>
  <c r="F42" i="72"/>
  <c r="L42" i="72"/>
  <c r="S42" i="72" s="1"/>
  <c r="W42" i="72" s="1"/>
  <c r="M42" i="72"/>
  <c r="E351" i="64"/>
  <c r="G351" i="64" s="1"/>
  <c r="U11" i="72"/>
  <c r="R33" i="72"/>
  <c r="F33" i="72"/>
  <c r="L33" i="72"/>
  <c r="S33" i="72" s="1"/>
  <c r="W33" i="72" s="1"/>
  <c r="F19" i="72"/>
  <c r="R19" i="72"/>
  <c r="L19" i="72"/>
  <c r="S19" i="72" s="1"/>
  <c r="W19" i="72" s="1"/>
  <c r="E333" i="64"/>
  <c r="G333" i="64" s="1"/>
  <c r="M40" i="72"/>
  <c r="F40" i="72"/>
  <c r="R40" i="72"/>
  <c r="L40" i="72"/>
  <c r="S40" i="72" s="1"/>
  <c r="U40" i="72" s="1"/>
  <c r="W40" i="72" s="1"/>
  <c r="F41" i="72"/>
  <c r="R41" i="72"/>
  <c r="L41" i="72"/>
  <c r="S41" i="72" s="1"/>
  <c r="W41" i="72" s="1"/>
  <c r="E268" i="64"/>
  <c r="G268" i="64" s="1"/>
  <c r="M33" i="72"/>
  <c r="E141" i="64"/>
  <c r="G141" i="64" s="1"/>
  <c r="M19" i="72"/>
  <c r="M41" i="72"/>
  <c r="E344" i="64"/>
  <c r="G344" i="64" s="1"/>
  <c r="Q52" i="79" l="1"/>
  <c r="K45" i="72"/>
  <c r="I137" i="67"/>
  <c r="Q44" i="79"/>
  <c r="Q28" i="79"/>
  <c r="U128" i="18"/>
  <c r="E252" i="64"/>
  <c r="G252" i="64" s="1"/>
  <c r="Q31" i="79"/>
  <c r="E114" i="64"/>
  <c r="G114" i="64" s="1"/>
  <c r="Q16" i="79"/>
  <c r="I137" i="28"/>
  <c r="I141" i="28" s="1"/>
  <c r="I145" i="28" s="1"/>
  <c r="K17" i="72"/>
  <c r="E360" i="64"/>
  <c r="G360" i="64" s="1"/>
  <c r="Q43" i="79"/>
  <c r="E168" i="64"/>
  <c r="G168" i="64" s="1"/>
  <c r="Q22" i="79"/>
  <c r="E260" i="64"/>
  <c r="G260" i="64" s="1"/>
  <c r="Q32" i="79"/>
  <c r="E287" i="64"/>
  <c r="G287" i="64" s="1"/>
  <c r="Q35" i="79"/>
  <c r="E232" i="64"/>
  <c r="G232" i="64" s="1"/>
  <c r="Q29" i="79"/>
  <c r="E194" i="64"/>
  <c r="G194" i="64" s="1"/>
  <c r="Q25" i="79"/>
  <c r="E313" i="64"/>
  <c r="G313" i="64" s="1"/>
  <c r="Q38" i="79"/>
  <c r="I141" i="67"/>
  <c r="I145" i="67" s="1"/>
  <c r="E323" i="64"/>
  <c r="G323" i="64" s="1"/>
  <c r="Q39" i="79"/>
  <c r="E213" i="64"/>
  <c r="G213" i="64" s="1"/>
  <c r="Q27" i="79"/>
  <c r="I145" i="52"/>
  <c r="F38" i="72"/>
  <c r="G35" i="72"/>
  <c r="L35" i="72"/>
  <c r="S35" i="72" s="1"/>
  <c r="U35" i="72" s="1"/>
  <c r="W35" i="72" s="1"/>
  <c r="F35" i="72"/>
  <c r="M39" i="72"/>
  <c r="L16" i="72"/>
  <c r="S16" i="72" s="1"/>
  <c r="U16" i="72" s="1"/>
  <c r="W16" i="72" s="1"/>
  <c r="G16" i="72"/>
  <c r="M38" i="72"/>
  <c r="L29" i="72"/>
  <c r="S29" i="72" s="1"/>
  <c r="W29" i="72" s="1"/>
  <c r="R29" i="72"/>
  <c r="F29" i="72"/>
  <c r="F27" i="72"/>
  <c r="L27" i="72"/>
  <c r="S27" i="72" s="1"/>
  <c r="U27" i="72" s="1"/>
  <c r="W27" i="72" s="1"/>
  <c r="R27" i="72"/>
  <c r="R16" i="72"/>
  <c r="M29" i="72"/>
  <c r="G38" i="72"/>
  <c r="M16" i="72"/>
  <c r="M27" i="72"/>
  <c r="L38" i="72"/>
  <c r="S38" i="72" s="1"/>
  <c r="W38" i="72" s="1"/>
  <c r="L39" i="72"/>
  <c r="S39" i="72" s="1"/>
  <c r="W39" i="72" s="1"/>
  <c r="F22" i="72"/>
  <c r="L22" i="72"/>
  <c r="S22" i="72" s="1"/>
  <c r="W22" i="72" s="1"/>
  <c r="M25" i="72"/>
  <c r="M31" i="72"/>
  <c r="M35" i="72"/>
  <c r="R22" i="72"/>
  <c r="F25" i="72"/>
  <c r="R50" i="72"/>
  <c r="R39" i="72"/>
  <c r="F39" i="72"/>
  <c r="G32" i="72"/>
  <c r="F32" i="72"/>
  <c r="L32" i="72"/>
  <c r="S32" i="72" s="1"/>
  <c r="W32" i="72" s="1"/>
  <c r="L50" i="72"/>
  <c r="S50" i="72" s="1"/>
  <c r="W50" i="72" s="1"/>
  <c r="L25" i="72"/>
  <c r="S25" i="72" s="1"/>
  <c r="U25" i="72" s="1"/>
  <c r="W25" i="72" s="1"/>
  <c r="F50" i="72"/>
  <c r="F34" i="72"/>
  <c r="K52" i="72"/>
  <c r="M43" i="72"/>
  <c r="M22" i="72"/>
  <c r="M32" i="72"/>
  <c r="U96" i="30"/>
  <c r="U128" i="30" s="1"/>
  <c r="U130" i="30" s="1"/>
  <c r="I133" i="30" s="1"/>
  <c r="U94" i="77"/>
  <c r="U128" i="77" s="1"/>
  <c r="U130" i="77" s="1"/>
  <c r="I133" i="77" s="1"/>
  <c r="U94" i="31"/>
  <c r="U128" i="31" s="1"/>
  <c r="U130" i="31" s="1"/>
  <c r="I133" i="31" s="1"/>
  <c r="H135" i="31" s="1"/>
  <c r="U96" i="27"/>
  <c r="U128" i="27" s="1"/>
  <c r="U130" i="27" s="1"/>
  <c r="I133" i="27" s="1"/>
  <c r="R34" i="72"/>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37" i="68"/>
  <c r="I141" i="68" s="1"/>
  <c r="I145" i="68" s="1"/>
  <c r="I147" i="30"/>
  <c r="I137" i="70"/>
  <c r="I141" i="70" s="1"/>
  <c r="I145" i="70" s="1"/>
  <c r="K49" i="72"/>
  <c r="G49" i="72" s="1"/>
  <c r="L34" i="72"/>
  <c r="S34" i="72" s="1"/>
  <c r="W34" i="72" s="1"/>
  <c r="R46" i="72"/>
  <c r="L46" i="72"/>
  <c r="S46" i="72" s="1"/>
  <c r="W46" i="72" s="1"/>
  <c r="G25" i="72"/>
  <c r="R26" i="72"/>
  <c r="L26" i="72"/>
  <c r="S26" i="72" s="1"/>
  <c r="W26" i="72" s="1"/>
  <c r="G26" i="72"/>
  <c r="F26" i="72"/>
  <c r="E441" i="64"/>
  <c r="G441" i="64" s="1"/>
  <c r="M52" i="72"/>
  <c r="K36" i="72"/>
  <c r="I137" i="51"/>
  <c r="I141" i="51" s="1"/>
  <c r="I145" i="51" s="1"/>
  <c r="I147" i="51"/>
  <c r="K47" i="72"/>
  <c r="K51" i="72"/>
  <c r="F46" i="72"/>
  <c r="I137" i="78"/>
  <c r="I141" i="78" s="1"/>
  <c r="I145" i="78" s="1"/>
  <c r="E369" i="64"/>
  <c r="G369" i="64" s="1"/>
  <c r="M44" i="72"/>
  <c r="G46" i="72"/>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K21" i="72"/>
  <c r="G37" i="72"/>
  <c r="R37" i="72"/>
  <c r="F37" i="72"/>
  <c r="L37" i="72"/>
  <c r="S37" i="72" s="1"/>
  <c r="W37" i="72" s="1"/>
  <c r="E223" i="64"/>
  <c r="G223" i="64" s="1"/>
  <c r="M28" i="72"/>
  <c r="G28" i="72"/>
  <c r="R28" i="72"/>
  <c r="L28" i="72"/>
  <c r="S28" i="72" s="1"/>
  <c r="W28" i="72" s="1"/>
  <c r="F28" i="72"/>
  <c r="G45" i="72"/>
  <c r="R45" i="72"/>
  <c r="L45" i="72"/>
  <c r="S45" i="72" s="1"/>
  <c r="W45" i="72" s="1"/>
  <c r="F45" i="72"/>
  <c r="K11" i="72"/>
  <c r="I137" i="21"/>
  <c r="I141" i="21" s="1"/>
  <c r="I145" i="21" s="1"/>
  <c r="K12" i="72"/>
  <c r="I137" i="25"/>
  <c r="I141" i="25" s="1"/>
  <c r="I145" i="25" s="1"/>
  <c r="M37" i="72" l="1"/>
  <c r="E304" i="64"/>
  <c r="G304" i="64" s="1"/>
  <c r="Q36" i="79"/>
  <c r="Q21" i="79"/>
  <c r="M17" i="72"/>
  <c r="Q12" i="79"/>
  <c r="Q11" i="79"/>
  <c r="Q45" i="79"/>
  <c r="E376" i="64"/>
  <c r="G376" i="64" s="1"/>
  <c r="M45" i="72"/>
  <c r="G414" i="64"/>
  <c r="Q49" i="79"/>
  <c r="E202" i="64"/>
  <c r="G202" i="64" s="1"/>
  <c r="Q26" i="79"/>
  <c r="E385" i="64"/>
  <c r="G385" i="64" s="1"/>
  <c r="Q46" i="79"/>
  <c r="R17" i="72"/>
  <c r="F17" i="72"/>
  <c r="G17" i="72"/>
  <c r="L17" i="72"/>
  <c r="S17" i="72" s="1"/>
  <c r="W17" i="72" s="1"/>
  <c r="E432" i="64"/>
  <c r="G432" i="64" s="1"/>
  <c r="Q51" i="79"/>
  <c r="E123" i="64"/>
  <c r="G123" i="64" s="1"/>
  <c r="Q17" i="79"/>
  <c r="M47" i="72"/>
  <c r="Q47" i="79"/>
  <c r="F52" i="72"/>
  <c r="L52" i="72"/>
  <c r="S52" i="72" s="1"/>
  <c r="W52" i="72" s="1"/>
  <c r="R52" i="72"/>
  <c r="G52" i="72"/>
  <c r="M46" i="72"/>
  <c r="L49" i="72"/>
  <c r="S49" i="72" s="1"/>
  <c r="W49" i="72" s="1"/>
  <c r="M49" i="72"/>
  <c r="M26" i="72"/>
  <c r="E395" i="64"/>
  <c r="G395" i="64" s="1"/>
  <c r="R49" i="72"/>
  <c r="F49" i="72"/>
  <c r="M51" i="72"/>
  <c r="I135" i="24"/>
  <c r="K13" i="72" s="1"/>
  <c r="L47" i="72"/>
  <c r="S47" i="72" s="1"/>
  <c r="W47" i="72" s="1"/>
  <c r="R47" i="72"/>
  <c r="F47" i="72"/>
  <c r="G47" i="72"/>
  <c r="E295" i="64"/>
  <c r="G295" i="64" s="1"/>
  <c r="M36" i="72"/>
  <c r="G36" i="72"/>
  <c r="R36" i="72"/>
  <c r="F36" i="72"/>
  <c r="L36" i="72"/>
  <c r="S36" i="72" s="1"/>
  <c r="U36" i="72" s="1"/>
  <c r="W36" i="72" s="1"/>
  <c r="I135" i="31"/>
  <c r="I137" i="31" s="1"/>
  <c r="I141" i="31" s="1"/>
  <c r="I145" i="31" s="1"/>
  <c r="I135" i="26"/>
  <c r="I137" i="26" s="1"/>
  <c r="I141" i="26" s="1"/>
  <c r="I145" i="26" s="1"/>
  <c r="I135" i="71"/>
  <c r="I147" i="71" s="1"/>
  <c r="R51" i="72"/>
  <c r="F51" i="72"/>
  <c r="G51" i="72"/>
  <c r="L51" i="72"/>
  <c r="S51" i="72" s="1"/>
  <c r="W51" i="72"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R21" i="72"/>
  <c r="F21" i="72"/>
  <c r="L21" i="72"/>
  <c r="S21" i="72" s="1"/>
  <c r="W21" i="72" s="1"/>
  <c r="G21" i="72"/>
  <c r="E160" i="64"/>
  <c r="G160" i="64" s="1"/>
  <c r="M21" i="72"/>
  <c r="E80" i="64"/>
  <c r="G80" i="64" s="1"/>
  <c r="M12" i="72"/>
  <c r="F12" i="72"/>
  <c r="R12" i="72"/>
  <c r="L12" i="72"/>
  <c r="S12" i="72" s="1"/>
  <c r="U12" i="72" s="1"/>
  <c r="W12" i="72" s="1"/>
  <c r="G12" i="72"/>
  <c r="M11" i="72"/>
  <c r="E70" i="64"/>
  <c r="G70" i="64" s="1"/>
  <c r="F11" i="72"/>
  <c r="G11" i="72"/>
  <c r="R11" i="72"/>
  <c r="L11" i="72"/>
  <c r="S11" i="72" s="1"/>
  <c r="W11" i="72" s="1"/>
  <c r="Q15" i="79" l="1"/>
  <c r="E132" i="64"/>
  <c r="G132" i="64" s="1"/>
  <c r="Q18" i="79"/>
  <c r="Q37" i="79"/>
  <c r="I147" i="31"/>
  <c r="I137" i="24"/>
  <c r="I141" i="24" s="1"/>
  <c r="I145" i="24" s="1"/>
  <c r="I147" i="24"/>
  <c r="I137" i="71"/>
  <c r="I141" i="71" s="1"/>
  <c r="I145" i="71" s="1"/>
  <c r="I147" i="26"/>
  <c r="K15" i="72"/>
  <c r="L15" i="72" s="1"/>
  <c r="S15" i="72" s="1"/>
  <c r="V15" i="72" s="1"/>
  <c r="W15" i="72" s="1"/>
  <c r="M15" i="72"/>
  <c r="E107" i="64"/>
  <c r="G107" i="64" s="1"/>
  <c r="G13" i="72"/>
  <c r="F13" i="72"/>
  <c r="L13" i="72"/>
  <c r="S13" i="72" s="1"/>
  <c r="V13" i="72" s="1"/>
  <c r="W13" i="72" s="1"/>
  <c r="R13" i="72"/>
  <c r="I135" i="17"/>
  <c r="K18" i="72"/>
  <c r="K48" i="72"/>
  <c r="I135" i="36"/>
  <c r="I147" i="23"/>
  <c r="K14" i="72"/>
  <c r="G14" i="72" s="1"/>
  <c r="I137" i="22"/>
  <c r="I141" i="22" s="1"/>
  <c r="I145" i="22" s="1"/>
  <c r="I147" i="20"/>
  <c r="H135" i="18"/>
  <c r="I135" i="18" s="1"/>
  <c r="I147" i="22"/>
  <c r="M18" i="72"/>
  <c r="K8" i="72" l="1"/>
  <c r="G8" i="72" s="1"/>
  <c r="I137" i="17"/>
  <c r="I141" i="17" s="1"/>
  <c r="I145" i="17" s="1"/>
  <c r="E99" i="64"/>
  <c r="G99" i="64" s="1"/>
  <c r="Q14" i="79"/>
  <c r="E405" i="64"/>
  <c r="G405" i="64" s="1"/>
  <c r="Q48" i="79"/>
  <c r="E90" i="64"/>
  <c r="G90" i="64" s="1"/>
  <c r="Q13" i="79"/>
  <c r="M13" i="72"/>
  <c r="G15" i="72"/>
  <c r="F15" i="72"/>
  <c r="R15" i="72"/>
  <c r="L14" i="72"/>
  <c r="S14" i="72" s="1"/>
  <c r="V14" i="72" s="1"/>
  <c r="W14" i="72" s="1"/>
  <c r="M48" i="72"/>
  <c r="M14" i="72"/>
  <c r="G18" i="72"/>
  <c r="R18" i="72"/>
  <c r="L18" i="72"/>
  <c r="S18" i="72" s="1"/>
  <c r="V18" i="72" s="1"/>
  <c r="W18" i="72" s="1"/>
  <c r="F18" i="72"/>
  <c r="R48" i="72"/>
  <c r="G48" i="72"/>
  <c r="L48" i="72"/>
  <c r="S48" i="72" s="1"/>
  <c r="V48" i="72" s="1"/>
  <c r="W48" i="72" s="1"/>
  <c r="F48" i="72"/>
  <c r="K24" i="72"/>
  <c r="I137" i="36"/>
  <c r="I141" i="36" s="1"/>
  <c r="I145" i="36" s="1"/>
  <c r="I147" i="36"/>
  <c r="I147" i="17"/>
  <c r="I147" i="18"/>
  <c r="K10" i="72"/>
  <c r="I137" i="20"/>
  <c r="I141" i="20" s="1"/>
  <c r="I145" i="20" s="1"/>
  <c r="Q10" i="79" s="1"/>
  <c r="R14" i="72"/>
  <c r="F14" i="72"/>
  <c r="K23" i="72"/>
  <c r="I137" i="23"/>
  <c r="I141" i="23" s="1"/>
  <c r="I145" i="23" s="1"/>
  <c r="R8" i="72"/>
  <c r="V24" i="72"/>
  <c r="H135" i="7"/>
  <c r="I135" i="7" s="1"/>
  <c r="I137" i="7" l="1"/>
  <c r="L8" i="72"/>
  <c r="S8" i="72" s="1"/>
  <c r="V8" i="72" s="1"/>
  <c r="W8" i="72" s="1"/>
  <c r="F8" i="72"/>
  <c r="Q24" i="79"/>
  <c r="Q23" i="79"/>
  <c r="M8" i="72"/>
  <c r="E183" i="64"/>
  <c r="G183" i="64" s="1"/>
  <c r="M24" i="72"/>
  <c r="F24" i="72"/>
  <c r="L24" i="72"/>
  <c r="S24" i="72" s="1"/>
  <c r="W24" i="72" s="1"/>
  <c r="G24" i="72"/>
  <c r="R24" i="72"/>
  <c r="G23" i="72"/>
  <c r="F23" i="72"/>
  <c r="R23" i="72"/>
  <c r="L23" i="72"/>
  <c r="S23" i="72" s="1"/>
  <c r="V23" i="72" s="1"/>
  <c r="W23" i="72" s="1"/>
  <c r="G10" i="72"/>
  <c r="R10" i="72"/>
  <c r="F10" i="72"/>
  <c r="L10" i="72"/>
  <c r="S10" i="72" s="1"/>
  <c r="V10" i="72" s="1"/>
  <c r="W10" i="72" s="1"/>
  <c r="E175" i="64"/>
  <c r="G175" i="64" s="1"/>
  <c r="M23" i="72"/>
  <c r="E62" i="64"/>
  <c r="G62" i="64" s="1"/>
  <c r="M10" i="72"/>
  <c r="K9" i="72"/>
  <c r="I137" i="18"/>
  <c r="I141" i="18" s="1"/>
  <c r="I145" i="18" s="1"/>
  <c r="I147" i="7" l="1"/>
  <c r="K6" i="72"/>
  <c r="L6" i="72" s="1"/>
  <c r="S6" i="72" s="1"/>
  <c r="U6" i="72" s="1"/>
  <c r="W6" i="72" s="1"/>
  <c r="Q9" i="79"/>
  <c r="E43" i="64"/>
  <c r="G43" i="64" s="1"/>
  <c r="Q8" i="79"/>
  <c r="R6" i="72"/>
  <c r="E50" i="64"/>
  <c r="M9" i="72"/>
  <c r="G9" i="72"/>
  <c r="R9" i="72"/>
  <c r="L9" i="72"/>
  <c r="S9" i="72" s="1"/>
  <c r="V9" i="72" s="1"/>
  <c r="W9" i="72" s="1"/>
  <c r="F9" i="72"/>
  <c r="F6" i="72" l="1"/>
  <c r="G6" i="72"/>
  <c r="G50" i="64"/>
  <c r="V54" i="72" l="1"/>
  <c r="I121" i="16" l="1"/>
  <c r="I122" i="16"/>
  <c r="I123" i="16"/>
  <c r="I124" i="16" l="1"/>
  <c r="I128" i="16" l="1"/>
  <c r="I126" i="60" s="1"/>
  <c r="I56" i="72" s="1"/>
  <c r="I7" i="72" l="1"/>
  <c r="J7" i="72" s="1"/>
  <c r="J54" i="72" s="1"/>
  <c r="I130" i="16"/>
  <c r="H135" i="16" s="1"/>
  <c r="I135" i="16" s="1"/>
  <c r="I133" i="60" s="1"/>
  <c r="Q7" i="72" l="1"/>
  <c r="I54" i="72"/>
  <c r="Q54" i="72" s="1"/>
  <c r="I131" i="60"/>
  <c r="I128" i="60"/>
  <c r="H133" i="60" s="1"/>
  <c r="I58" i="72" l="1"/>
  <c r="J56" i="72"/>
  <c r="J58" i="72" s="1"/>
  <c r="I147" i="16"/>
  <c r="K56" i="72"/>
  <c r="K7" i="72"/>
  <c r="K54" i="72" s="1"/>
  <c r="I137" i="16"/>
  <c r="I135" i="60" l="1"/>
  <c r="I141" i="16"/>
  <c r="G54" i="72"/>
  <c r="G7" i="72"/>
  <c r="R7" i="72"/>
  <c r="F7" i="72"/>
  <c r="L7" i="72"/>
  <c r="I145" i="16" l="1"/>
  <c r="S7" i="72"/>
  <c r="U7" i="72" s="1"/>
  <c r="L54" i="72"/>
  <c r="F54" i="72"/>
  <c r="R54" i="72"/>
  <c r="K58" i="72"/>
  <c r="L56" i="72"/>
  <c r="J56" i="79" l="1"/>
  <c r="S54" i="72"/>
  <c r="M7" i="72"/>
  <c r="E27" i="64"/>
  <c r="L58" i="72"/>
  <c r="W7" i="72"/>
  <c r="W54" i="72" s="1"/>
  <c r="U54" i="72"/>
  <c r="J57" i="79" l="1"/>
  <c r="J58" i="79" s="1"/>
  <c r="J60" i="79" s="1"/>
  <c r="Q7" i="79"/>
  <c r="G27" i="64"/>
  <c r="I137" i="60"/>
  <c r="I141" i="7"/>
  <c r="I139" i="60" s="1"/>
  <c r="I145" i="7" l="1"/>
  <c r="I143" i="60" s="1"/>
  <c r="M56" i="72" s="1"/>
  <c r="M6" i="72" l="1"/>
  <c r="M54" i="72" s="1"/>
  <c r="M58" i="72" s="1"/>
  <c r="E5" i="64"/>
  <c r="E458" i="64"/>
  <c r="N54" i="79"/>
  <c r="Q54" i="79"/>
  <c r="G458" i="64" l="1"/>
  <c r="G480" i="64" s="1"/>
  <c r="I458" i="64"/>
  <c r="G5" i="64"/>
  <c r="G451" i="64" s="1"/>
  <c r="E451" i="64"/>
  <c r="E480" i="64"/>
  <c r="G452" i="64" l="1"/>
</calcChain>
</file>

<file path=xl/sharedStrings.xml><?xml version="1.0" encoding="utf-8"?>
<sst xmlns="http://schemas.openxmlformats.org/spreadsheetml/2006/main" count="17956" uniqueCount="555">
  <si>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</si>
  <si>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</si>
  <si>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</si>
  <si>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</si>
  <si>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</si>
  <si>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</si>
  <si>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</si>
  <si>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</si>
  <si>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</si>
  <si>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</si>
  <si>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</si>
  <si>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</si>
  <si>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</si>
  <si>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</si>
  <si>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</si>
  <si>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</si>
  <si>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</si>
  <si>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</si>
  <si>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</si>
  <si>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</si>
  <si>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</si>
  <si>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</si>
  <si>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</si>
  <si>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</si>
  <si>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</si>
  <si>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</si>
  <si>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</si>
  <si>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</si>
  <si>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</si>
  <si>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</si>
  <si>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</si>
  <si>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</si>
  <si>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</si>
  <si>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</si>
  <si>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</si>
  <si>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</si>
  <si>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</si>
  <si>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</si>
  <si>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</si>
  <si>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</si>
  <si>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</si>
  <si>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</si>
  <si>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</si>
  <si>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</si>
  <si>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</si>
  <si>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</si>
  <si>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</si>
  <si>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</si>
  <si>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</si>
  <si>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</si>
  <si>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</si>
  <si>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</si>
  <si>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</si>
  <si>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</si>
  <si>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</si>
  <si>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</si>
  <si>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</si>
  <si>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</si>
  <si>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</si>
  <si>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</si>
  <si>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</si>
  <si>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</si>
  <si>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</si>
  <si>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</si>
  <si>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</si>
  <si>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</si>
  <si>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</si>
  <si>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</si>
  <si>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</si>
  <si>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</si>
  <si>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</si>
  <si>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</si>
  <si>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</si>
  <si>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</si>
  <si>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</si>
  <si>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</si>
  <si>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</si>
  <si>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</si>
  <si>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</si>
  <si>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</si>
  <si>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</si>
  <si>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</si>
  <si>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</si>
  <si>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</si>
  <si>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</si>
  <si>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</si>
  <si>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</si>
  <si>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</si>
  <si>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</si>
  <si>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</si>
  <si>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</si>
  <si>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</si>
  <si>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</si>
  <si>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</si>
  <si>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</si>
  <si>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</si>
  <si>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</si>
  <si>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</si>
  <si>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</si>
  <si>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</si>
  <si>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</si>
  <si>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</si>
  <si>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</si>
  <si>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</si>
  <si>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</si>
  <si>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</si>
  <si>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</si>
  <si>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</si>
  <si>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</si>
  <si>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</si>
  <si>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</si>
  <si>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</si>
  <si>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</si>
  <si>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</si>
  <si>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</si>
  <si>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</si>
  <si>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</si>
  <si>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</si>
  <si>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</si>
  <si>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</si>
  <si>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</si>
  <si>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</si>
  <si>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</si>
  <si>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</si>
  <si>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</si>
  <si>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</si>
  <si>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</si>
  <si>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</si>
  <si>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</si>
  <si>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</si>
  <si>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</si>
  <si>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</si>
  <si>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</si>
  <si>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</si>
  <si>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</si>
  <si>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</si>
  <si>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</si>
  <si>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</si>
  <si>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</si>
  <si>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</si>
  <si>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</si>
  <si>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</si>
  <si>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</si>
  <si>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</si>
  <si>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</si>
  <si>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</si>
  <si>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</si>
  <si>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</si>
  <si>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</si>
  <si>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</si>
  <si>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</si>
  <si>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</si>
  <si>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</si>
  <si>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</si>
  <si>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</si>
  <si>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</si>
  <si>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</si>
  <si>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</si>
  <si>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</si>
  <si>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</si>
  <si>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</si>
  <si>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</si>
  <si>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</si>
  <si>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</si>
  <si>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</si>
  <si>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</si>
  <si>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</si>
  <si>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</si>
  <si>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</si>
  <si>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</si>
  <si>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</si>
  <si>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</si>
  <si>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</si>
  <si>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</si>
  <si>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</si>
  <si>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</si>
  <si>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</si>
  <si>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</si>
  <si>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</si>
  <si>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</si>
  <si>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</si>
  <si>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</si>
  <si>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</si>
  <si>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</si>
  <si>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</si>
  <si>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</si>
  <si>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</si>
  <si>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</si>
  <si>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</si>
  <si>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</si>
  <si>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</si>
  <si>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</si>
  <si>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</si>
  <si>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</si>
  <si>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</si>
  <si>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</si>
  <si>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</si>
  <si>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</si>
  <si>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</si>
  <si>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</si>
  <si>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</si>
  <si>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</si>
  <si>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</si>
  <si>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</si>
  <si>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</si>
  <si>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</si>
  <si>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</si>
  <si>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</si>
  <si>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</si>
  <si>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</si>
  <si>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</si>
  <si>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</si>
  <si>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</si>
  <si>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</si>
  <si>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</si>
  <si>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</si>
  <si>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</si>
  <si>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</si>
  <si>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</si>
  <si>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</si>
  <si>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</si>
  <si>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</si>
  <si>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</si>
  <si>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</si>
  <si>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</si>
  <si>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</si>
  <si>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</si>
  <si>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</si>
  <si>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</si>
  <si>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</si>
  <si>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</si>
  <si>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</si>
  <si>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</si>
  <si>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</si>
  <si>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</si>
  <si>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</si>
  <si>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</si>
  <si>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</si>
  <si>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</si>
  <si>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</si>
  <si>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</si>
  <si>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</si>
  <si>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</si>
  <si>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</si>
  <si>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</si>
  <si>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</si>
  <si>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</si>
  <si>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</si>
  <si>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</si>
  <si>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</si>
  <si>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</si>
  <si>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</si>
  <si>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</si>
  <si>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</si>
  <si>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</si>
  <si>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</si>
  <si>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</si>
  <si>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</si>
  <si>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</si>
  <si>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</si>
  <si>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</si>
  <si>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</si>
  <si>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</si>
  <si>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</si>
  <si>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</si>
  <si>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</si>
  <si>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</si>
  <si>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</si>
  <si>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</si>
  <si>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</si>
  <si>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</si>
  <si>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</si>
  <si>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</si>
  <si>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</si>
  <si>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</si>
  <si>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</si>
  <si>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</si>
  <si>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</si>
  <si>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</si>
  <si>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</si>
  <si>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</si>
  <si>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</si>
  <si>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</si>
  <si>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</si>
  <si>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</si>
  <si>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</si>
  <si>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</si>
  <si>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</si>
  <si>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</si>
  <si>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</si>
  <si>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Admin</t>
  </si>
  <si>
    <t>Annual</t>
  </si>
  <si>
    <t>Fee %</t>
  </si>
  <si>
    <t>Revenue</t>
  </si>
  <si>
    <t>Admin Fee</t>
  </si>
  <si>
    <t>Net Revenue</t>
  </si>
  <si>
    <t>The Learning Center @ The Els Center of Excl</t>
  </si>
  <si>
    <t>Somerset Academy Charter School</t>
  </si>
  <si>
    <t>Sports Leadership Academy (SLAM)</t>
  </si>
  <si>
    <t>Connections Education Center of the PBs</t>
  </si>
  <si>
    <t>BridgePrep Academy of Palm Beach</t>
  </si>
  <si>
    <t>Consolidated tab totals</t>
  </si>
  <si>
    <t>Difference</t>
  </si>
  <si>
    <t>MS Course Recovery</t>
  </si>
  <si>
    <t>ESE</t>
  </si>
  <si>
    <t>H/P</t>
  </si>
  <si>
    <t>Sec 1 FTE</t>
  </si>
  <si>
    <t>Rev</t>
  </si>
  <si>
    <t>Fee</t>
  </si>
  <si>
    <t>Net Rev</t>
  </si>
  <si>
    <t>75% ESE</t>
  </si>
  <si>
    <t>Net Rev Per Sec 1 FTE</t>
  </si>
  <si>
    <t>Other</t>
  </si>
  <si>
    <t>Current</t>
  </si>
  <si>
    <t>Mth's Pmt</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</si>
  <si>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</si>
  <si>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</si>
  <si>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</si>
  <si>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</si>
  <si>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</si>
  <si>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</si>
  <si>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</si>
  <si>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</si>
  <si>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</si>
  <si>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</si>
  <si>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</si>
  <si>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Sec 1 Rev/Fee per FTE</t>
  </si>
  <si>
    <t>4103</t>
  </si>
  <si>
    <t>Sports Leadership Arts Management (SLAM) Acdemy MHS (Boca)</t>
  </si>
  <si>
    <t xml:space="preserve"> </t>
  </si>
  <si>
    <t>Oct 2018</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</si>
  <si>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</si>
  <si>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</si>
  <si>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</si>
  <si>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</si>
  <si>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</si>
  <si>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</si>
  <si>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</si>
  <si>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</si>
  <si>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</si>
  <si>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</si>
  <si>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</si>
  <si>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</si>
  <si>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</si>
  <si>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</si>
  <si>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</si>
  <si>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</si>
  <si>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</si>
  <si>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</si>
  <si>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</si>
  <si>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</si>
  <si>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</si>
  <si>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</si>
  <si>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</si>
  <si>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</si>
  <si>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</si>
  <si>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</si>
  <si>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</si>
  <si>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</si>
  <si>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</si>
  <si>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</si>
  <si>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</si>
  <si>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</si>
  <si>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</si>
  <si>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</si>
  <si>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</si>
  <si>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</si>
  <si>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</si>
  <si>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</si>
  <si>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</si>
  <si>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</si>
  <si>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</si>
  <si>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</si>
  <si>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</si>
  <si>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</si>
  <si>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</si>
  <si>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</si>
  <si>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</si>
  <si>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</si>
  <si>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</si>
  <si>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</si>
  <si>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</si>
  <si>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 - TSIA</t>
  </si>
  <si>
    <t>W/O TSIA</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</si>
  <si>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</si>
  <si>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</si>
  <si>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</si>
  <si>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</si>
  <si>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</si>
  <si>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</si>
  <si>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</si>
  <si>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</si>
  <si>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</si>
  <si>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</si>
  <si>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</si>
  <si>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</si>
  <si>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</si>
  <si>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</si>
  <si>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</si>
  <si>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</si>
  <si>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</si>
  <si>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</si>
  <si>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</si>
  <si>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</si>
  <si>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</si>
  <si>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</si>
  <si>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</si>
  <si>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</si>
  <si>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</si>
  <si>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</si>
  <si>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</si>
  <si>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</si>
  <si>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</si>
  <si>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</si>
  <si>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</si>
  <si>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</si>
  <si>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</si>
  <si>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</si>
  <si>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</si>
  <si>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</si>
  <si>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</si>
  <si>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</si>
  <si>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</si>
  <si>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</si>
  <si>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</si>
  <si>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</si>
  <si>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</si>
  <si>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</si>
  <si>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</si>
  <si>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</si>
  <si>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</si>
  <si>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</si>
  <si>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</si>
  <si>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</si>
  <si>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</si>
  <si>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</si>
  <si>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</si>
  <si>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</si>
  <si>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</si>
  <si>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</si>
  <si>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</si>
  <si>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</si>
  <si>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</si>
  <si>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</si>
  <si>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</si>
  <si>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</si>
  <si>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</si>
  <si>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</si>
  <si>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</si>
  <si>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</si>
  <si>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</si>
  <si>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</si>
  <si>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</si>
  <si>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</si>
  <si>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</si>
  <si>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</si>
  <si>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</si>
  <si>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</si>
  <si>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</si>
  <si>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</si>
  <si>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</si>
  <si>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</si>
  <si>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</si>
  <si>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</si>
  <si>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</si>
  <si>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</si>
  <si>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</si>
  <si>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</si>
  <si>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</si>
  <si>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</si>
  <si>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</si>
  <si>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</si>
  <si>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</si>
  <si>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</si>
  <si>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</si>
  <si>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</si>
  <si>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</si>
  <si>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</si>
  <si>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</si>
  <si>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</si>
  <si>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</si>
  <si>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</si>
  <si>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</si>
  <si>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</si>
  <si>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</si>
  <si>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</si>
  <si>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</si>
  <si>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</si>
  <si>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</si>
  <si>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</si>
  <si>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</si>
  <si>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</si>
  <si>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</si>
  <si>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</si>
  <si>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</si>
  <si>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</si>
  <si>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</si>
  <si>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</si>
  <si>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</si>
  <si>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</si>
  <si>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</si>
  <si>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</si>
  <si>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</si>
  <si>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</si>
  <si>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</si>
  <si>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</si>
  <si>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</si>
  <si>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</si>
  <si>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</si>
  <si>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</si>
  <si>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</si>
  <si>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</si>
  <si>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0664</t>
  </si>
  <si>
    <t>Academy for Positive Learning</t>
  </si>
  <si>
    <t>rounding diff</t>
  </si>
  <si>
    <t>Payments excluding current month</t>
  </si>
  <si>
    <t>Net Revenue - Previous Pmts</t>
  </si>
  <si>
    <t>Calculated Current Payment</t>
  </si>
  <si>
    <t>Actual Current Payment</t>
  </si>
  <si>
    <t>Oct 2023</t>
  </si>
  <si>
    <t>Feb 2024</t>
  </si>
  <si>
    <t>Notes:</t>
  </si>
  <si>
    <t>The amounts in blue were the schools that were overpaid $.01 on the December payment.  The amount in the December cell equals the amount on their individual worksheet for December plus the overpayment which is the amount that was actually paid to them.  The amount in the January cell is the amount on their individual tab for the school minus the $.01 overpayment recoupment from teh December payment.  The total amount was the amount actually paid.</t>
  </si>
  <si>
    <t>After the payment was sent to Bob, we noticed that the amount on the consolidated tab for the previous payment amounts did not match the amount on this tab.  We determined that a few of the amounts were input incorrectly into the individual tabs. We noted these differences in column S. Cell R58 shows that the total payments + the adjustments equal the amount shown on the consolidated tab.  We will correct the previous payments on the individual tabs in the February payment.</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</si>
  <si>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</si>
  <si>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</si>
  <si>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</si>
  <si>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</si>
  <si>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</si>
  <si>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</si>
  <si>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</si>
  <si>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</si>
  <si>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</si>
  <si>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</si>
  <si>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Receiveable Collection</t>
  </si>
  <si>
    <t>WPB-XXX</t>
  </si>
  <si>
    <t>*Use this for each tab in worksheet, current month is excluded for  calc.</t>
  </si>
  <si>
    <t>WPB-281592</t>
  </si>
  <si>
    <t>WPB- 281736</t>
  </si>
  <si>
    <t>June 2024</t>
  </si>
  <si>
    <t>Ref Overpayment Retract</t>
  </si>
  <si>
    <t>FTE June 2024</t>
  </si>
  <si>
    <t>WPB-283704</t>
  </si>
  <si>
    <t>WPB-283296</t>
  </si>
  <si>
    <t>Based on the FLDOE 2023-24 FEFP Final Calculation</t>
  </si>
  <si>
    <t>FINAL PMT</t>
  </si>
  <si>
    <r>
      <t xml:space="preserve">Final </t>
    </r>
    <r>
      <rPr>
        <b/>
        <sz val="10"/>
        <color indexed="12"/>
        <rFont val="Calibri"/>
        <family val="2"/>
      </rPr>
      <t xml:space="preserve">2024 - </t>
    </r>
    <r>
      <rPr>
        <b/>
        <sz val="10"/>
        <rFont val="Calibri"/>
        <family val="2"/>
      </rPr>
      <t xml:space="preserve">FY </t>
    </r>
    <r>
      <rPr>
        <b/>
        <sz val="10"/>
        <color indexed="12"/>
        <rFont val="Calibri"/>
        <family val="2"/>
      </rPr>
      <t xml:space="preserve">2024 </t>
    </r>
    <r>
      <rPr>
        <b/>
        <sz val="10"/>
        <rFont val="Calibri"/>
        <family val="2"/>
      </rPr>
      <t>Charter School FTE Payment</t>
    </r>
  </si>
  <si>
    <t>FY 2024 Final Payment</t>
  </si>
  <si>
    <t>Maintenance Portion (4.52% of Conference Base Funding)</t>
  </si>
  <si>
    <t>Growth Portion (1.41% of Conference Base Funding)</t>
  </si>
  <si>
    <t xml:space="preserve">  Total Salary Increase Allocation</t>
  </si>
  <si>
    <t>Maintenance and Growth Portions of the Salary Increase funds are part of the total Conference Base Funding and are not treated as a separate allocation. Amounts are split out here for informative purposes and for the purposes of providing a total that may be used for calculating the adminstrative fee.</t>
  </si>
  <si>
    <t>Net Payment Tab amount. 01-2024-12 FEFP PMT Calc</t>
  </si>
  <si>
    <t>1. the FDOE released the Final FY 2024 Survey 4 FTE Data on 10/21/2024. The FTE data in that report is used to compile these adjustments. FEFP adjustments will be used in the December 2024 FEFP payment.</t>
  </si>
  <si>
    <t>*Bridgeprep payments on hold - not included in December of 2024 FEFP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</si>
</sst>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56" x14ac:knownFonts="1">
    <font>
      <sz val="10"/>
      <name val="Arial"/>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b/>
      <sz val="8"/>
      <color rgb="FF0000FF"/>
      <name val="Arial"/>
      <family val="2"/>
    </font>
  </fonts>
  <fills count="12">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cellStyleXfs>
  <cellXfs count="697">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43" fontId="21" fillId="4" borderId="1" xfId="1" applyFont="1" applyFill="1" applyBorder="1" applyAlignment="1"/>
    <xf numFmtId="43" fontId="13" fillId="0" borderId="6" xfId="1" applyFont="1" applyBorder="1" applyAlignment="1"/>
    <xf numFmtId="43" fontId="18" fillId="0" borderId="1" xfId="1" applyFont="1" applyBorder="1" applyAlignment="1">
      <alignment horizontal="center"/>
    </xf>
    <xf numFmtId="4" fontId="22"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41" fontId="13" fillId="0" borderId="0" xfId="1" applyNumberFormat="1" applyFont="1" applyFill="1" applyBorder="1" applyAlignment="1"/>
    <xf numFmtId="0" fontId="22" fillId="0" borderId="0" xfId="0" applyFont="1"/>
    <xf numFmtId="0" fontId="22"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4" fillId="0" borderId="0" xfId="0" applyFont="1"/>
    <xf numFmtId="0" fontId="21" fillId="0" borderId="0" xfId="0" applyFont="1" applyAlignment="1">
      <alignment horizontal="center"/>
    </xf>
    <xf numFmtId="43" fontId="21" fillId="4" borderId="6" xfId="1" applyFont="1" applyFill="1" applyBorder="1" applyAlignment="1"/>
    <xf numFmtId="43" fontId="13" fillId="4" borderId="6" xfId="1" applyFont="1" applyFill="1" applyBorder="1" applyAlignment="1"/>
    <xf numFmtId="43" fontId="21"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5" fillId="4" borderId="6" xfId="1" applyFont="1" applyFill="1" applyBorder="1" applyAlignment="1"/>
    <xf numFmtId="4" fontId="19" fillId="0" borderId="6" xfId="0" applyNumberFormat="1" applyFont="1" applyBorder="1"/>
    <xf numFmtId="43" fontId="25" fillId="4" borderId="1" xfId="1" applyFont="1" applyFill="1" applyBorder="1" applyAlignment="1"/>
    <xf numFmtId="43" fontId="25"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6" fillId="0" borderId="0" xfId="9" applyFont="1"/>
    <xf numFmtId="0" fontId="21" fillId="0" borderId="10" xfId="9" applyFont="1" applyBorder="1" applyAlignment="1">
      <alignment horizontal="right"/>
    </xf>
    <xf numFmtId="0" fontId="19" fillId="0" borderId="11" xfId="9" applyFont="1" applyBorder="1"/>
    <xf numFmtId="0" fontId="13" fillId="0" borderId="0" xfId="9" applyFont="1"/>
    <xf numFmtId="0" fontId="27" fillId="0" borderId="0" xfId="9" applyFont="1"/>
    <xf numFmtId="0" fontId="19" fillId="0" borderId="1" xfId="9" applyFont="1" applyBorder="1" applyAlignment="1">
      <alignment horizontal="center"/>
    </xf>
    <xf numFmtId="0" fontId="27" fillId="0" borderId="10" xfId="9" applyFont="1" applyBorder="1"/>
    <xf numFmtId="0" fontId="27" fillId="0" borderId="11" xfId="9" applyFont="1" applyBorder="1" applyAlignment="1">
      <alignment horizontal="center"/>
    </xf>
    <xf numFmtId="44" fontId="26" fillId="0" borderId="0" xfId="9" applyNumberFormat="1" applyFont="1"/>
    <xf numFmtId="0" fontId="27" fillId="0" borderId="0" xfId="9" applyFont="1" applyAlignment="1">
      <alignment horizontal="right"/>
    </xf>
    <xf numFmtId="43" fontId="19" fillId="0" borderId="1" xfId="3" applyFont="1" applyBorder="1"/>
    <xf numFmtId="9" fontId="15" fillId="0" borderId="1" xfId="11"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7" fillId="0" borderId="0" xfId="9" quotePrefix="1" applyFont="1" applyAlignment="1">
      <alignment horizontal="left"/>
    </xf>
    <xf numFmtId="43" fontId="27" fillId="0" borderId="5" xfId="1" applyFont="1" applyBorder="1"/>
    <xf numFmtId="43" fontId="13"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41" fontId="27" fillId="0" borderId="1" xfId="1" applyNumberFormat="1" applyFont="1" applyBorder="1"/>
    <xf numFmtId="0" fontId="21" fillId="0" borderId="5" xfId="9" applyFont="1" applyBorder="1" applyAlignment="1">
      <alignment horizontal="right"/>
    </xf>
    <xf numFmtId="0" fontId="27" fillId="0" borderId="5" xfId="9" applyFont="1" applyBorder="1"/>
    <xf numFmtId="43" fontId="19" fillId="0" borderId="0" xfId="3" applyFont="1" applyBorder="1"/>
    <xf numFmtId="43" fontId="26" fillId="0" borderId="0" xfId="1" applyFont="1"/>
    <xf numFmtId="0" fontId="27" fillId="0" borderId="0" xfId="9" quotePrefix="1" applyFont="1" applyAlignment="1">
      <alignment horizontal="left" indent="1"/>
    </xf>
    <xf numFmtId="0" fontId="26" fillId="0" borderId="0" xfId="9" quotePrefix="1" applyFont="1" applyAlignment="1">
      <alignment horizontal="left"/>
    </xf>
    <xf numFmtId="43" fontId="26" fillId="0" borderId="0" xfId="1" applyFont="1" applyBorder="1"/>
    <xf numFmtId="43" fontId="13" fillId="0" borderId="6" xfId="1" applyFont="1" applyFill="1" applyBorder="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8" fillId="0" borderId="0" xfId="7" quotePrefix="1" applyNumberFormat="1" applyFont="1" applyAlignment="1">
      <alignment horizontal="center" vertical="center"/>
    </xf>
    <xf numFmtId="177" fontId="28" fillId="0" borderId="0" xfId="7" quotePrefix="1" applyNumberFormat="1" applyFont="1" applyAlignment="1">
      <alignment horizontal="left"/>
    </xf>
    <xf numFmtId="177" fontId="28" fillId="0" borderId="0" xfId="7" applyNumberFormat="1" applyFont="1"/>
    <xf numFmtId="0" fontId="16" fillId="0" borderId="0" xfId="7" applyFont="1"/>
    <xf numFmtId="49" fontId="28"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43" fontId="13" fillId="0" borderId="0" xfId="0" applyNumberFormat="1" applyFont="1"/>
    <xf numFmtId="1" fontId="29"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1" fillId="0" borderId="0" xfId="1" applyNumberFormat="1" applyFont="1" applyFill="1" applyBorder="1"/>
    <xf numFmtId="43" fontId="21" fillId="0" borderId="1" xfId="1" quotePrefix="1" applyFont="1" applyBorder="1" applyAlignment="1"/>
    <xf numFmtId="43" fontId="25" fillId="0" borderId="0" xfId="9" applyNumberFormat="1" applyFont="1"/>
    <xf numFmtId="43" fontId="25" fillId="0" borderId="1" xfId="9" applyNumberFormat="1" applyFont="1" applyBorder="1"/>
    <xf numFmtId="0" fontId="15" fillId="0" borderId="0" xfId="0" quotePrefix="1" applyFont="1" applyAlignment="1">
      <alignment horizontal="left"/>
    </xf>
    <xf numFmtId="43" fontId="21" fillId="0" borderId="1" xfId="1" applyFont="1" applyBorder="1"/>
    <xf numFmtId="16" fontId="13" fillId="0" borderId="0" xfId="0" applyNumberFormat="1" applyFont="1"/>
    <xf numFmtId="0" fontId="17" fillId="0" borderId="0" xfId="0" applyFont="1"/>
    <xf numFmtId="0" fontId="21" fillId="0" borderId="0" xfId="0" quotePrefix="1" applyFont="1" applyAlignment="1">
      <alignment horizontal="left"/>
    </xf>
    <xf numFmtId="0" fontId="21" fillId="0" borderId="0" xfId="0" applyFont="1"/>
    <xf numFmtId="0" fontId="21"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7" fillId="0" borderId="0" xfId="9" quotePrefix="1" applyFont="1" applyAlignment="1">
      <alignment horizontal="right"/>
    </xf>
    <xf numFmtId="43" fontId="30" fillId="0" borderId="0" xfId="1" applyFont="1"/>
    <xf numFmtId="0" fontId="30"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43" fontId="21"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1" fillId="0" borderId="1" xfId="1" applyFont="1" applyBorder="1" applyAlignment="1"/>
    <xf numFmtId="37" fontId="21" fillId="0" borderId="1" xfId="1" applyNumberFormat="1" applyFont="1" applyBorder="1" applyAlignment="1"/>
    <xf numFmtId="37" fontId="21" fillId="0" borderId="1" xfId="1" applyNumberFormat="1" applyFont="1" applyBorder="1" applyAlignment="1">
      <alignment horizontal="center"/>
    </xf>
    <xf numFmtId="37" fontId="21" fillId="0" borderId="0" xfId="1" applyNumberFormat="1" applyFont="1"/>
    <xf numFmtId="41" fontId="21" fillId="0" borderId="0" xfId="1" applyNumberFormat="1" applyFont="1" applyFill="1" applyBorder="1" applyAlignme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applyNumberFormat="1" applyFont="1"/>
    <xf numFmtId="0" fontId="13" fillId="0" borderId="0" xfId="0" quotePrefix="1" applyFont="1" applyAlignment="1">
      <alignment horizontal="left" indent="1"/>
    </xf>
    <xf numFmtId="49" fontId="21"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175" fontId="21" fillId="6" borderId="0" xfId="0" applyNumberFormat="1" applyFont="1" applyFill="1"/>
    <xf numFmtId="38" fontId="21" fillId="6" borderId="0" xfId="0" quotePrefix="1" applyNumberFormat="1" applyFont="1" applyFill="1"/>
    <xf numFmtId="0" fontId="31" fillId="0" borderId="0" xfId="0" applyFont="1"/>
    <xf numFmtId="0" fontId="21" fillId="3" borderId="0" xfId="0" quotePrefix="1" applyFont="1" applyFill="1" applyAlignment="1">
      <alignment horizontal="left"/>
    </xf>
    <xf numFmtId="0" fontId="21" fillId="3" borderId="0" xfId="0" applyFont="1" applyFill="1"/>
    <xf numFmtId="16" fontId="16" fillId="0" borderId="0" xfId="0" applyNumberFormat="1" applyFont="1"/>
    <xf numFmtId="43" fontId="30"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2"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1" fontId="16" fillId="0" borderId="0" xfId="2" quotePrefix="1" applyNumberFormat="1" applyFont="1" applyFill="1" applyBorder="1" applyAlignment="1">
      <alignment horizontal="center"/>
    </xf>
    <xf numFmtId="1" fontId="16" fillId="0" borderId="0" xfId="2" quotePrefix="1" applyNumberFormat="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0" fontId="17" fillId="0" borderId="12" xfId="0" applyFont="1" applyBorder="1" applyAlignment="1">
      <alignment horizontal="center"/>
    </xf>
    <xf numFmtId="0" fontId="17" fillId="0" borderId="13" xfId="0" applyFont="1" applyBorder="1" applyAlignment="1">
      <alignment horizontal="center"/>
    </xf>
    <xf numFmtId="0" fontId="17" fillId="0" borderId="14" xfId="0" applyFont="1" applyBorder="1" applyAlignment="1">
      <alignment horizontal="center"/>
    </xf>
    <xf numFmtId="0" fontId="17" fillId="0" borderId="4" xfId="0" quotePrefix="1" applyFont="1" applyBorder="1" applyAlignment="1">
      <alignment horizontal="center"/>
    </xf>
    <xf numFmtId="1" fontId="16" fillId="0" borderId="0" xfId="8" applyNumberFormat="1" applyFont="1" applyAlignment="1">
      <alignment horizontal="center"/>
    </xf>
    <xf numFmtId="1" fontId="16" fillId="0" borderId="0" xfId="8" applyNumberFormat="1" applyFont="1"/>
    <xf numFmtId="10" fontId="16" fillId="0" borderId="0" xfId="10" applyNumberFormat="1" applyFont="1"/>
    <xf numFmtId="1" fontId="16" fillId="0" borderId="0" xfId="8" quotePrefix="1" applyNumberFormat="1" applyFont="1" applyAlignment="1">
      <alignment horizontal="left"/>
    </xf>
    <xf numFmtId="9" fontId="14" fillId="0" borderId="0" xfId="11" quotePrefix="1" applyFont="1" applyAlignment="1">
      <alignment horizontal="left"/>
    </xf>
    <xf numFmtId="9" fontId="17" fillId="0" borderId="12" xfId="0" applyNumberFormat="1" applyFont="1" applyBorder="1" applyAlignment="1">
      <alignment horizontal="center"/>
    </xf>
    <xf numFmtId="43" fontId="16" fillId="0" borderId="1" xfId="0" applyNumberFormat="1" applyFont="1" applyBorder="1"/>
    <xf numFmtId="43" fontId="16" fillId="0" borderId="8" xfId="0" applyNumberFormat="1" applyFont="1" applyBorder="1"/>
    <xf numFmtId="43" fontId="16" fillId="0" borderId="4" xfId="1" applyFont="1" applyBorder="1" applyAlignment="1">
      <alignment horizontal="center"/>
    </xf>
    <xf numFmtId="10" fontId="16" fillId="0" borderId="15" xfId="10" applyNumberFormat="1" applyFont="1" applyBorder="1"/>
    <xf numFmtId="43" fontId="16" fillId="0" borderId="15" xfId="0" applyNumberFormat="1" applyFont="1" applyBorder="1"/>
    <xf numFmtId="43" fontId="16" fillId="0" borderId="15" xfId="1" applyFont="1" applyBorder="1"/>
    <xf numFmtId="0" fontId="33" fillId="0" borderId="0" xfId="0" quotePrefix="1" applyFont="1" applyAlignment="1">
      <alignment horizontal="left"/>
    </xf>
    <xf numFmtId="16" fontId="30"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170" fontId="13" fillId="0" borderId="0" xfId="6" quotePrefix="1" applyNumberFormat="1" applyFont="1" applyBorder="1" applyAlignment="1">
      <alignment horizontal="center"/>
    </xf>
    <xf numFmtId="0" fontId="33"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1"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0" fillId="4" borderId="0" xfId="1" applyFont="1" applyFill="1" applyBorder="1" applyAlignment="1"/>
    <xf numFmtId="43" fontId="30" fillId="0" borderId="0" xfId="1" applyFont="1" applyFill="1" applyBorder="1" applyAlignment="1"/>
    <xf numFmtId="43" fontId="30" fillId="0" borderId="0" xfId="1" applyFont="1" applyFill="1" applyAlignment="1"/>
    <xf numFmtId="43" fontId="30"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1" fillId="0" borderId="0" xfId="0" applyFont="1" applyAlignment="1">
      <alignment horizontal="left"/>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1" fillId="0" borderId="0" xfId="0" quotePrefix="1" applyFont="1" applyAlignment="1">
      <alignment horizontal="left" vertical="center"/>
    </xf>
    <xf numFmtId="0" fontId="31"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1" fillId="0" borderId="0" xfId="0" quotePrefix="1" applyFont="1" applyAlignment="1">
      <alignment horizontal="left" vertical="center" indent="1"/>
    </xf>
    <xf numFmtId="0" fontId="34" fillId="0" borderId="0" xfId="0" applyFont="1"/>
    <xf numFmtId="0" fontId="34" fillId="0" borderId="0" xfId="0" applyFont="1" applyAlignment="1">
      <alignment vertical="center"/>
    </xf>
    <xf numFmtId="0" fontId="31" fillId="0" borderId="0" xfId="0" applyFont="1" applyAlignment="1">
      <alignment horizontal="left" vertical="center"/>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protection locked="0"/>
    </xf>
    <xf numFmtId="0" fontId="31" fillId="0" borderId="0" xfId="0" quotePrefix="1" applyFont="1" applyAlignment="1" applyProtection="1">
      <alignment horizontal="left"/>
      <protection locked="0"/>
    </xf>
    <xf numFmtId="0" fontId="31" fillId="0" borderId="0" xfId="0" quotePrefix="1" applyFont="1" applyAlignment="1" applyProtection="1">
      <alignment horizontal="left" indent="1"/>
      <protection locked="0"/>
    </xf>
    <xf numFmtId="0" fontId="31" fillId="0" borderId="0" xfId="0" quotePrefix="1" applyFont="1" applyAlignment="1" applyProtection="1">
      <alignment horizontal="left" vertical="center"/>
      <protection locked="0"/>
    </xf>
    <xf numFmtId="0" fontId="31" fillId="0" borderId="0" xfId="0" quotePrefix="1" applyFont="1" applyAlignment="1" applyProtection="1">
      <alignment horizontal="left" vertical="center" indent="1"/>
      <protection locked="0"/>
    </xf>
    <xf numFmtId="41" fontId="29" fillId="0" borderId="15" xfId="8" applyNumberFormat="1" applyFont="1" applyBorder="1" applyAlignment="1">
      <alignment horizontal="center"/>
    </xf>
    <xf numFmtId="41" fontId="29" fillId="0" borderId="15" xfId="8" quotePrefix="1" applyNumberFormat="1" applyFont="1" applyBorder="1" applyAlignment="1">
      <alignment horizontal="center"/>
    </xf>
    <xf numFmtId="41" fontId="29" fillId="0" borderId="15" xfId="2" quotePrefix="1" applyNumberFormat="1" applyFont="1" applyFill="1" applyBorder="1" applyAlignment="1">
      <alignment horizontal="center"/>
    </xf>
    <xf numFmtId="41" fontId="29" fillId="0" borderId="15" xfId="2" applyNumberFormat="1" applyFont="1" applyFill="1" applyBorder="1" applyAlignment="1">
      <alignment horizontal="center"/>
    </xf>
    <xf numFmtId="41" fontId="16" fillId="0" borderId="0" xfId="0" applyNumberFormat="1" applyFont="1" applyAlignment="1">
      <alignment horizontal="center"/>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2" fillId="2" borderId="0" xfId="0" quotePrefix="1" applyNumberFormat="1" applyFont="1" applyFill="1" applyAlignment="1">
      <alignment horizontal="center"/>
    </xf>
    <xf numFmtId="49" fontId="17" fillId="2" borderId="2"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21"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7" fillId="2" borderId="18" xfId="0" quotePrefix="1" applyNumberFormat="1" applyFont="1" applyFill="1" applyBorder="1" applyAlignment="1">
      <alignment horizontal="left" indent="1"/>
    </xf>
    <xf numFmtId="10" fontId="16" fillId="0" borderId="0" xfId="10" applyNumberFormat="1" applyFont="1" applyBorder="1"/>
    <xf numFmtId="0" fontId="17" fillId="0" borderId="14" xfId="0" quotePrefix="1" applyFont="1" applyBorder="1" applyAlignment="1">
      <alignment horizontal="center"/>
    </xf>
    <xf numFmtId="0" fontId="17" fillId="2" borderId="7" xfId="0" quotePrefix="1" applyFont="1" applyFill="1" applyBorder="1" applyAlignment="1">
      <alignment horizontal="left" indent="1"/>
    </xf>
    <xf numFmtId="0" fontId="13" fillId="2" borderId="0" xfId="0" quotePrefix="1" applyFont="1" applyFill="1" applyAlignment="1">
      <alignment horizontal="left"/>
    </xf>
    <xf numFmtId="0" fontId="15" fillId="2" borderId="0" xfId="0" applyFont="1" applyFill="1" applyAlignment="1">
      <alignment horizontal="left"/>
    </xf>
    <xf numFmtId="0" fontId="17" fillId="0" borderId="0" xfId="0" quotePrefix="1" applyFont="1" applyAlignment="1" applyProtection="1">
      <alignment horizontal="left" indent="2"/>
      <protection locked="0"/>
    </xf>
    <xf numFmtId="0" fontId="17" fillId="0" borderId="0" xfId="0" applyFont="1" applyProtection="1">
      <protection locked="0"/>
    </xf>
    <xf numFmtId="0" fontId="15" fillId="2" borderId="0" xfId="0" quotePrefix="1" applyFont="1" applyFill="1" applyAlignment="1">
      <alignment horizontal="left"/>
    </xf>
    <xf numFmtId="164" fontId="35" fillId="0" borderId="1" xfId="6" quotePrefix="1" applyFont="1" applyBorder="1" applyAlignment="1">
      <alignment horizontal="center"/>
    </xf>
    <xf numFmtId="0" fontId="40" fillId="0" borderId="0" xfId="0" applyFont="1" applyAlignment="1">
      <alignment horizontal="left" indent="2"/>
    </xf>
    <xf numFmtId="0" fontId="40" fillId="0" borderId="0" xfId="0" quotePrefix="1" applyFont="1" applyAlignment="1">
      <alignment horizontal="left" vertical="center" indent="2"/>
    </xf>
    <xf numFmtId="0" fontId="13" fillId="0" borderId="0" xfId="0" applyFont="1" applyAlignment="1">
      <alignment horizontal="left" vertical="center" indent="2"/>
    </xf>
    <xf numFmtId="169" fontId="18" fillId="0" borderId="0" xfId="0" applyNumberFormat="1" applyFont="1" applyAlignment="1">
      <alignment horizontal="left" vertical="center" indent="2"/>
    </xf>
    <xf numFmtId="2" fontId="13" fillId="0" borderId="0" xfId="0" applyNumberFormat="1" applyFont="1" applyAlignment="1">
      <alignment horizontal="left" vertical="center" indent="2"/>
    </xf>
    <xf numFmtId="43" fontId="13" fillId="0" borderId="0" xfId="1" applyFont="1" applyBorder="1" applyAlignment="1">
      <alignment horizontal="left" vertical="center" indent="2"/>
    </xf>
    <xf numFmtId="0" fontId="13" fillId="2" borderId="0" xfId="0" applyFont="1" applyFill="1" applyAlignment="1">
      <alignment horizontal="left" vertical="center" indent="2"/>
    </xf>
    <xf numFmtId="169" fontId="18" fillId="2" borderId="0" xfId="0" applyNumberFormat="1" applyFont="1" applyFill="1" applyAlignment="1">
      <alignment horizontal="left" vertical="center" indent="2"/>
    </xf>
    <xf numFmtId="2" fontId="13" fillId="2" borderId="0" xfId="0" applyNumberFormat="1" applyFont="1" applyFill="1" applyAlignment="1">
      <alignment horizontal="left" vertical="center" indent="2"/>
    </xf>
    <xf numFmtId="0" fontId="40" fillId="0" borderId="0" xfId="0" applyFont="1" applyAlignment="1">
      <alignment horizontal="left" vertical="top" indent="2"/>
    </xf>
    <xf numFmtId="0" fontId="13" fillId="0" borderId="0" xfId="0" quotePrefix="1" applyFont="1"/>
    <xf numFmtId="44" fontId="13" fillId="0" borderId="0" xfId="1" applyNumberFormat="1" applyFont="1" applyAlignment="1">
      <alignment horizontal="right"/>
    </xf>
    <xf numFmtId="10" fontId="13" fillId="0" borderId="0" xfId="10" applyNumberFormat="1" applyFont="1" applyAlignment="1">
      <alignment horizontal="center"/>
    </xf>
    <xf numFmtId="43" fontId="13" fillId="2" borderId="0" xfId="1" applyFont="1" applyFill="1" applyBorder="1" applyAlignment="1"/>
    <xf numFmtId="0" fontId="40" fillId="2" borderId="0" xfId="0" quotePrefix="1" applyFont="1" applyFill="1" applyAlignment="1">
      <alignment horizontal="left" vertical="center" indent="2"/>
    </xf>
    <xf numFmtId="43" fontId="13" fillId="2" borderId="0" xfId="1" applyFont="1" applyFill="1" applyBorder="1" applyAlignment="1">
      <alignment horizontal="left" vertical="center" indent="2"/>
    </xf>
    <xf numFmtId="0" fontId="40" fillId="2" borderId="0" xfId="0" quotePrefix="1" applyFont="1" applyFill="1" applyAlignment="1">
      <alignment horizontal="left" vertical="top" indent="2"/>
    </xf>
    <xf numFmtId="0" fontId="40" fillId="2" borderId="0" xfId="0" applyFont="1" applyFill="1" applyAlignment="1">
      <alignment horizontal="left" indent="2"/>
    </xf>
    <xf numFmtId="0" fontId="13" fillId="2" borderId="0" xfId="0" quotePrefix="1" applyFont="1" applyFill="1"/>
    <xf numFmtId="44" fontId="13" fillId="2" borderId="0" xfId="1" applyNumberFormat="1" applyFont="1" applyFill="1" applyAlignment="1">
      <alignment horizontal="right"/>
    </xf>
    <xf numFmtId="2" fontId="13" fillId="2" borderId="0" xfId="0" quotePrefix="1" applyNumberFormat="1" applyFont="1" applyFill="1" applyAlignment="1">
      <alignment horizontal="center"/>
    </xf>
    <xf numFmtId="10" fontId="13" fillId="2" borderId="0" xfId="10" applyNumberFormat="1" applyFont="1" applyFill="1" applyAlignment="1">
      <alignment horizontal="center"/>
    </xf>
    <xf numFmtId="43" fontId="13" fillId="2" borderId="5" xfId="1" applyFont="1" applyFill="1" applyBorder="1" applyAlignment="1"/>
    <xf numFmtId="0" fontId="40" fillId="2" borderId="0" xfId="0" applyFont="1" applyFill="1" applyAlignment="1">
      <alignment horizontal="left" vertical="top" indent="2"/>
    </xf>
    <xf numFmtId="181" fontId="18" fillId="0" borderId="1" xfId="1" applyNumberFormat="1" applyFont="1" applyBorder="1" applyAlignment="1">
      <alignment horizontal="center"/>
    </xf>
    <xf numFmtId="0" fontId="35" fillId="0" borderId="0" xfId="0" applyFont="1"/>
    <xf numFmtId="0" fontId="35" fillId="2" borderId="0" xfId="0" applyFont="1" applyFill="1"/>
    <xf numFmtId="0" fontId="35" fillId="2" borderId="0" xfId="0" quotePrefix="1" applyFont="1" applyFill="1" applyAlignment="1">
      <alignment horizontal="left"/>
    </xf>
    <xf numFmtId="0" fontId="35" fillId="0" borderId="0" xfId="0" quotePrefix="1" applyFont="1" applyAlignment="1">
      <alignment horizontal="left"/>
    </xf>
    <xf numFmtId="43" fontId="13" fillId="0" borderId="0" xfId="1" applyFont="1"/>
    <xf numFmtId="41" fontId="13" fillId="2" borderId="1" xfId="0" applyNumberFormat="1" applyFont="1" applyFill="1" applyBorder="1"/>
    <xf numFmtId="41" fontId="13" fillId="2" borderId="0" xfId="0" applyNumberFormat="1" applyFont="1" applyFill="1"/>
    <xf numFmtId="166" fontId="13" fillId="2" borderId="0" xfId="0" applyNumberFormat="1" applyFont="1" applyFill="1" applyAlignment="1">
      <alignment horizontal="center"/>
    </xf>
    <xf numFmtId="166" fontId="13" fillId="0" borderId="0" xfId="0" applyNumberFormat="1" applyFont="1" applyAlignment="1">
      <alignment horizontal="center"/>
    </xf>
    <xf numFmtId="0" fontId="4" fillId="0" borderId="0" xfId="0" quotePrefix="1" applyFont="1" applyAlignment="1">
      <alignment horizontal="left"/>
    </xf>
    <xf numFmtId="43" fontId="15" fillId="0" borderId="0" xfId="1" applyFont="1" applyFill="1" applyBorder="1" applyAlignment="1"/>
    <xf numFmtId="0" fontId="15" fillId="0" borderId="0" xfId="0" applyFont="1" applyAlignment="1">
      <alignment horizontal="right"/>
    </xf>
    <xf numFmtId="7" fontId="42" fillId="0" borderId="0" xfId="0" quotePrefix="1" applyNumberFormat="1" applyFont="1" applyAlignment="1">
      <alignment horizontal="center"/>
    </xf>
    <xf numFmtId="17" fontId="42" fillId="0" borderId="0" xfId="0" quotePrefix="1" applyNumberFormat="1" applyFont="1" applyAlignment="1">
      <alignment horizontal="center"/>
    </xf>
    <xf numFmtId="7" fontId="42" fillId="0" borderId="0" xfId="0" applyNumberFormat="1" applyFont="1" applyAlignment="1">
      <alignment horizontal="center"/>
    </xf>
    <xf numFmtId="2" fontId="15" fillId="0" borderId="0" xfId="0" quotePrefix="1" applyNumberFormat="1" applyFont="1" applyAlignment="1">
      <alignment horizontal="center"/>
    </xf>
    <xf numFmtId="0" fontId="43" fillId="0" borderId="0" xfId="0" quotePrefix="1" applyFont="1" applyAlignment="1">
      <alignment horizontal="center"/>
    </xf>
    <xf numFmtId="0" fontId="13" fillId="0" borderId="0" xfId="0" quotePrefix="1" applyFont="1" applyAlignment="1">
      <alignment horizontal="left" wrapText="1"/>
    </xf>
    <xf numFmtId="2" fontId="37" fillId="0" borderId="0" xfId="0" applyNumberFormat="1" applyFont="1" applyAlignment="1">
      <alignment horizontal="left" indent="3"/>
    </xf>
    <xf numFmtId="2" fontId="23" fillId="2" borderId="0" xfId="0" applyNumberFormat="1" applyFont="1" applyFill="1" applyAlignment="1">
      <alignment horizontal="left"/>
    </xf>
    <xf numFmtId="0" fontId="13" fillId="2" borderId="0" xfId="0" quotePrefix="1" applyFont="1" applyFill="1" applyAlignment="1">
      <alignment horizontal="left" wrapText="1"/>
    </xf>
    <xf numFmtId="7" fontId="19" fillId="0" borderId="1" xfId="0" quotePrefix="1" applyNumberFormat="1" applyFont="1" applyBorder="1" applyAlignment="1">
      <alignment horizontal="center"/>
    </xf>
    <xf numFmtId="43" fontId="30" fillId="0" borderId="0" xfId="7" applyNumberFormat="1" applyFont="1"/>
    <xf numFmtId="49" fontId="16" fillId="0" borderId="0" xfId="0" quotePrefix="1" applyNumberFormat="1" applyFont="1" applyFill="1" applyAlignment="1">
      <alignment horizontal="left" indent="1"/>
    </xf>
    <xf numFmtId="0" fontId="13" fillId="0" borderId="1" xfId="0" quotePrefix="1" applyFont="1" applyBorder="1" applyAlignment="1">
      <alignment horizontal="center"/>
    </xf>
    <xf numFmtId="0" fontId="13" fillId="0" borderId="0" xfId="0" applyFont="1" applyAlignment="1">
      <alignment horizontal="lef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applyFont="1" applyFill="1" applyAlignment="1">
      <alignment horizontal="right"/>
    </xf>
    <xf numFmtId="0" fontId="13" fillId="2" borderId="0" xfId="0" applyFont="1" applyFill="1" applyAlignment="1">
      <alignment horizontal="center"/>
    </xf>
    <xf numFmtId="0" fontId="13" fillId="2" borderId="1" xfId="0" quotePrefix="1" applyFont="1" applyFill="1" applyBorder="1" applyAlignment="1">
      <alignment horizontal="center"/>
    </xf>
    <xf numFmtId="0" fontId="13" fillId="0" borderId="0" xfId="0" quotePrefix="1" applyFont="1" applyAlignment="1">
      <alignment horizontal="left"/>
    </xf>
    <xf numFmtId="0" fontId="13" fillId="2" borderId="0" xfId="0" applyFont="1" applyFill="1" applyAlignment="1">
      <alignment horizontal="left"/>
    </xf>
    <xf numFmtId="0" fontId="13" fillId="2" borderId="0" xfId="0" quotePrefix="1" applyFont="1" applyFill="1" applyAlignment="1">
      <alignment horizontal="left"/>
    </xf>
    <xf numFmtId="0" fontId="44" fillId="0" borderId="0" xfId="0" quotePrefix="1" applyFont="1" applyAlignment="1">
      <alignment horizontal="center"/>
    </xf>
    <xf numFmtId="0" fontId="44" fillId="0" borderId="1" xfId="0" quotePrefix="1" applyFont="1" applyBorder="1" applyAlignment="1">
      <alignment horizontal="center"/>
    </xf>
    <xf numFmtId="7" fontId="13" fillId="0" borderId="0" xfId="0" quotePrefix="1" applyNumberFormat="1" applyFont="1" applyAlignment="1">
      <alignment horizontal="center"/>
    </xf>
    <xf numFmtId="170" fontId="44" fillId="6" borderId="0" xfId="6" applyNumberFormat="1" applyFont="1" applyFill="1" applyBorder="1" applyAlignment="1"/>
    <xf numFmtId="0" fontId="15" fillId="0" borderId="0" xfId="0" applyFont="1" applyFill="1" applyBorder="1"/>
    <xf numFmtId="0" fontId="13" fillId="2" borderId="1" xfId="0" applyFont="1" applyFill="1" applyBorder="1"/>
    <xf numFmtId="170" fontId="44" fillId="2" borderId="1" xfId="6" applyNumberFormat="1" applyFont="1" applyFill="1" applyBorder="1" applyAlignment="1"/>
    <xf numFmtId="0" fontId="16" fillId="2" borderId="0" xfId="0" quotePrefix="1" applyFont="1" applyFill="1" applyAlignment="1">
      <alignment horizontal="left"/>
    </xf>
    <xf numFmtId="0" fontId="15" fillId="2" borderId="0" xfId="0" quotePrefix="1" applyFont="1" applyFill="1" applyAlignment="1">
      <alignment horizontal="center"/>
    </xf>
    <xf numFmtId="166" fontId="18" fillId="2" borderId="0" xfId="0" applyNumberFormat="1" applyFont="1" applyFill="1" applyAlignment="1">
      <alignment horizontal="center"/>
    </xf>
    <xf numFmtId="7" fontId="15" fillId="2" borderId="0" xfId="0" quotePrefix="1" applyNumberFormat="1" applyFont="1" applyFill="1" applyBorder="1" applyAlignment="1">
      <alignment horizontal="center"/>
    </xf>
    <xf numFmtId="17" fontId="15" fillId="2" borderId="0" xfId="0" quotePrefix="1" applyNumberFormat="1" applyFont="1" applyFill="1" applyBorder="1" applyAlignment="1">
      <alignment horizontal="center"/>
    </xf>
    <xf numFmtId="7" fontId="15" fillId="2" borderId="0" xfId="0" applyNumberFormat="1" applyFont="1" applyFill="1" applyBorder="1" applyAlignment="1">
      <alignment horizontal="center"/>
    </xf>
    <xf numFmtId="0" fontId="15" fillId="2" borderId="0" xfId="0" quotePrefix="1" applyFont="1" applyFill="1" applyBorder="1" applyAlignment="1">
      <alignment horizontal="center"/>
    </xf>
    <xf numFmtId="169" fontId="13" fillId="2" borderId="0" xfId="0" quotePrefix="1" applyNumberFormat="1" applyFont="1" applyFill="1" applyBorder="1" applyAlignment="1">
      <alignment horizontal="center"/>
    </xf>
    <xf numFmtId="2" fontId="13" fillId="2" borderId="0" xfId="0" quotePrefix="1" applyNumberFormat="1" applyFont="1" applyFill="1" applyBorder="1" applyAlignment="1">
      <alignment horizontal="center"/>
    </xf>
    <xf numFmtId="0" fontId="44" fillId="2" borderId="1" xfId="0" quotePrefix="1" applyFont="1" applyFill="1" applyBorder="1" applyAlignment="1">
      <alignment horizontal="center"/>
    </xf>
    <xf numFmtId="44" fontId="13" fillId="2" borderId="8" xfId="0" applyNumberFormat="1" applyFont="1" applyFill="1" applyBorder="1"/>
    <xf numFmtId="164" fontId="13" fillId="2" borderId="5" xfId="6" applyNumberFormat="1" applyFont="1" applyFill="1" applyBorder="1" applyAlignment="1"/>
    <xf numFmtId="164" fontId="13" fillId="2" borderId="1" xfId="6" applyNumberFormat="1" applyFont="1" applyFill="1" applyBorder="1" applyAlignment="1"/>
    <xf numFmtId="164" fontId="13" fillId="2" borderId="1" xfId="0" applyNumberFormat="1" applyFont="1" applyFill="1" applyBorder="1"/>
    <xf numFmtId="164" fontId="13" fillId="2" borderId="6" xfId="6" applyNumberFormat="1" applyFont="1" applyFill="1" applyBorder="1" applyAlignment="1"/>
    <xf numFmtId="164" fontId="13" fillId="2" borderId="3" xfId="6" applyNumberFormat="1" applyFont="1" applyFill="1" applyBorder="1" applyAlignment="1"/>
    <xf numFmtId="164" fontId="13" fillId="2" borderId="0" xfId="6" applyNumberFormat="1" applyFont="1" applyFill="1" applyBorder="1" applyAlignment="1"/>
    <xf numFmtId="164" fontId="13" fillId="2" borderId="0" xfId="0" applyNumberFormat="1" applyFont="1" applyFill="1"/>
    <xf numFmtId="4" fontId="13" fillId="2" borderId="1" xfId="0" applyNumberFormat="1" applyFont="1" applyFill="1" applyBorder="1"/>
    <xf numFmtId="164" fontId="13" fillId="2" borderId="8" xfId="0" applyNumberFormat="1" applyFont="1" applyFill="1" applyBorder="1"/>
    <xf numFmtId="0" fontId="45" fillId="0" borderId="0" xfId="0" quotePrefix="1" applyFont="1" applyAlignment="1">
      <alignment horizontal="left" vertical="center" indent="2"/>
    </xf>
    <xf numFmtId="0" fontId="45" fillId="0" borderId="0" xfId="0" quotePrefix="1" applyFont="1" applyAlignment="1">
      <alignment horizontal="left" vertical="top" indent="2"/>
    </xf>
    <xf numFmtId="0" fontId="13" fillId="0" borderId="1" xfId="0" quotePrefix="1" applyFont="1" applyBorder="1" applyAlignment="1">
      <alignment horizontal="center"/>
    </xf>
    <xf numFmtId="0" fontId="13" fillId="0" borderId="0" xfId="0" applyFont="1" applyAlignment="1">
      <alignment horizontal="left"/>
    </xf>
    <xf numFmtId="2" fontId="13" fillId="0" borderId="0" xfId="0" applyNumberFormat="1"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46" fillId="0" borderId="0" xfId="0" applyFont="1" applyAlignment="1">
      <alignment horizontal="left" vertical="center"/>
    </xf>
    <xf numFmtId="0" fontId="48" fillId="0" borderId="0" xfId="0" applyFont="1" applyAlignment="1">
      <alignment horizontal="left" vertical="center" wrapText="1"/>
    </xf>
    <xf numFmtId="49" fontId="16" fillId="0" borderId="0" xfId="0" quotePrefix="1" applyNumberFormat="1" applyFont="1" applyFill="1"/>
    <xf numFmtId="49" fontId="30" fillId="4" borderId="0" xfId="0" quotePrefix="1" applyNumberFormat="1" applyFont="1" applyFill="1" applyAlignment="1">
      <alignment horizontal="left"/>
    </xf>
    <xf numFmtId="49" fontId="32" fillId="2" borderId="0" xfId="0" quotePrefix="1" applyNumberFormat="1" applyFont="1" applyFill="1" applyBorder="1" applyAlignment="1">
      <alignment horizontal="center"/>
    </xf>
    <xf numFmtId="0" fontId="32" fillId="2" borderId="24" xfId="0" applyFont="1" applyFill="1" applyBorder="1"/>
    <xf numFmtId="0" fontId="32" fillId="2" borderId="16" xfId="0" applyFont="1" applyFill="1" applyBorder="1"/>
    <xf numFmtId="0" fontId="17" fillId="2" borderId="17" xfId="0" applyFont="1" applyFill="1" applyBorder="1"/>
    <xf numFmtId="0" fontId="16" fillId="0" borderId="0" xfId="0" quotePrefix="1" applyFont="1" applyFill="1" applyAlignment="1">
      <alignment horizontal="left" vertical="center" indent="1"/>
    </xf>
    <xf numFmtId="43" fontId="16" fillId="0" borderId="0" xfId="0" applyNumberFormat="1" applyFont="1" applyBorder="1"/>
    <xf numFmtId="43" fontId="33" fillId="0" borderId="0" xfId="0" quotePrefix="1" applyNumberFormat="1" applyFont="1" applyAlignment="1">
      <alignment horizontal="left"/>
    </xf>
    <xf numFmtId="0" fontId="1" fillId="0" borderId="0" xfId="12"/>
    <xf numFmtId="0" fontId="1" fillId="0" borderId="0" xfId="12" applyAlignment="1">
      <alignment horizontal="center"/>
    </xf>
    <xf numFmtId="43" fontId="0" fillId="0" borderId="0" xfId="13" applyFont="1"/>
    <xf numFmtId="43" fontId="1" fillId="0" borderId="0" xfId="12" applyNumberFormat="1"/>
    <xf numFmtId="43" fontId="2" fillId="0" borderId="0" xfId="13" applyFont="1"/>
    <xf numFmtId="0" fontId="50" fillId="0" borderId="0" xfId="12" applyFont="1"/>
    <xf numFmtId="43" fontId="50" fillId="0" borderId="0" xfId="12" applyNumberFormat="1" applyFont="1"/>
    <xf numFmtId="43" fontId="50" fillId="0" borderId="1" xfId="12" applyNumberFormat="1" applyFont="1" applyBorder="1"/>
    <xf numFmtId="0" fontId="49" fillId="0" borderId="0" xfId="12" applyFont="1"/>
    <xf numFmtId="0" fontId="49" fillId="0" borderId="0" xfId="12" applyFont="1" applyAlignment="1">
      <alignment horizontal="center"/>
    </xf>
    <xf numFmtId="0" fontId="49" fillId="0" borderId="0" xfId="12" applyFont="1" applyAlignment="1">
      <alignment horizontal="center" wrapText="1"/>
    </xf>
    <xf numFmtId="0" fontId="50" fillId="0" borderId="0" xfId="12" applyFont="1" applyAlignment="1">
      <alignment horizontal="right"/>
    </xf>
    <xf numFmtId="43" fontId="50" fillId="0" borderId="0" xfId="1" applyFont="1"/>
    <xf numFmtId="43" fontId="1" fillId="0" borderId="0" xfId="12" applyNumberFormat="1" applyFill="1"/>
    <xf numFmtId="43" fontId="2" fillId="0" borderId="0" xfId="1" applyFont="1"/>
    <xf numFmtId="43" fontId="53" fillId="0" borderId="0" xfId="1" applyFont="1"/>
    <xf numFmtId="43" fontId="53" fillId="0" borderId="0" xfId="13" applyFont="1"/>
    <xf numFmtId="0" fontId="50" fillId="0" borderId="0" xfId="12" applyFont="1" applyFill="1"/>
    <xf numFmtId="0" fontId="50" fillId="0" borderId="0" xfId="12" applyFont="1" applyAlignment="1">
      <alignment horizontal="left"/>
    </xf>
    <xf numFmtId="43" fontId="51" fillId="0" borderId="0" xfId="13" applyFont="1" applyAlignment="1">
      <alignment horizontal="center"/>
    </xf>
    <xf numFmtId="43" fontId="52" fillId="0" borderId="0" xfId="1" applyFont="1" applyAlignment="1">
      <alignment horizontal="center"/>
    </xf>
    <xf numFmtId="4" fontId="13" fillId="0" borderId="0" xfId="0" quotePrefix="1" applyNumberFormat="1" applyFont="1" applyAlignment="1">
      <alignment horizontal="center"/>
    </xf>
    <xf numFmtId="0" fontId="13" fillId="0" borderId="0" xfId="0" applyFont="1" applyAlignment="1">
      <alignment horizontal="center"/>
    </xf>
    <xf numFmtId="0" fontId="13" fillId="0" borderId="0" xfId="0" applyFont="1" applyAlignment="1">
      <alignment horizontal="left"/>
    </xf>
    <xf numFmtId="0" fontId="13" fillId="0" borderId="0" xfId="0" quotePrefix="1" applyFont="1" applyAlignment="1">
      <alignment horizontal="left"/>
    </xf>
    <xf numFmtId="0" fontId="13" fillId="2" borderId="0" xfId="0" applyFont="1" applyFill="1" applyAlignment="1">
      <alignment horizontal="right"/>
    </xf>
    <xf numFmtId="0" fontId="13" fillId="2" borderId="0" xfId="0" applyFont="1" applyFill="1" applyAlignment="1">
      <alignment horizontal="left"/>
    </xf>
    <xf numFmtId="0" fontId="13" fillId="2" borderId="0" xfId="0" quotePrefix="1" applyFont="1" applyFill="1" applyAlignment="1">
      <alignment horizontal="left"/>
    </xf>
    <xf numFmtId="0" fontId="13" fillId="2" borderId="0" xfId="0" applyFont="1" applyFill="1" applyAlignment="1">
      <alignment horizontal="center"/>
    </xf>
    <xf numFmtId="41" fontId="13" fillId="2" borderId="0" xfId="0" applyNumberFormat="1" applyFont="1" applyFill="1" applyBorder="1"/>
    <xf numFmtId="41" fontId="13" fillId="2" borderId="5" xfId="0" applyNumberFormat="1" applyFont="1" applyFill="1" applyBorder="1"/>
    <xf numFmtId="43" fontId="30" fillId="4" borderId="0" xfId="7" applyNumberFormat="1" applyFont="1" applyFill="1"/>
    <xf numFmtId="43" fontId="1" fillId="0" borderId="0" xfId="1" applyFont="1"/>
    <xf numFmtId="0" fontId="54" fillId="0" borderId="0" xfId="12" applyFont="1"/>
    <xf numFmtId="43" fontId="0" fillId="0" borderId="0" xfId="13" applyFont="1" applyFill="1"/>
    <xf numFmtId="43" fontId="50" fillId="0" borderId="0" xfId="1" applyFont="1" applyFill="1"/>
    <xf numFmtId="43" fontId="1" fillId="0" borderId="0" xfId="1" applyFont="1" applyFill="1"/>
    <xf numFmtId="43" fontId="13" fillId="0" borderId="0" xfId="0" applyNumberFormat="1" applyFont="1" applyAlignment="1">
      <alignment horizontal="right"/>
    </xf>
    <xf numFmtId="49" fontId="14" fillId="0" borderId="0" xfId="0" applyNumberFormat="1" applyFont="1"/>
    <xf numFmtId="0" fontId="13" fillId="0" borderId="0" xfId="0" quotePrefix="1" applyFont="1" applyAlignment="1">
      <alignment horizontal="center"/>
    </xf>
    <xf numFmtId="0" fontId="13" fillId="0" borderId="0" xfId="0" applyFont="1" applyAlignment="1"/>
    <xf numFmtId="0" fontId="13" fillId="0" borderId="0" xfId="0" quotePrefix="1" applyFont="1" applyAlignment="1"/>
    <xf numFmtId="0" fontId="45" fillId="0" borderId="0" xfId="0" quotePrefix="1" applyFont="1" applyAlignment="1">
      <alignment vertical="center"/>
    </xf>
    <xf numFmtId="43" fontId="55" fillId="0" borderId="0" xfId="0" quotePrefix="1" applyNumberFormat="1" applyFont="1" applyAlignment="1">
      <alignment horizontal="left" indent="1"/>
    </xf>
    <xf numFmtId="0" fontId="17" fillId="0" borderId="10" xfId="0" applyFont="1" applyBorder="1" applyAlignment="1">
      <alignment horizontal="center"/>
    </xf>
    <xf numFmtId="0" fontId="17" fillId="0" borderId="5" xfId="0" applyFont="1" applyBorder="1" applyAlignment="1">
      <alignment horizontal="center"/>
    </xf>
    <xf numFmtId="0" fontId="17" fillId="0" borderId="11" xfId="0" applyFont="1" applyBorder="1" applyAlignment="1">
      <alignment horizontal="center"/>
    </xf>
    <xf numFmtId="43" fontId="17" fillId="0" borderId="4" xfId="1" quotePrefix="1" applyFont="1" applyBorder="1" applyAlignment="1">
      <alignment horizontal="center"/>
    </xf>
    <xf numFmtId="0" fontId="17" fillId="0" borderId="4" xfId="0" quotePrefix="1" applyFont="1" applyBorder="1" applyAlignment="1">
      <alignment horizontal="center"/>
    </xf>
    <xf numFmtId="0" fontId="17" fillId="0" borderId="0" xfId="0" quotePrefix="1" applyFont="1" applyAlignment="1">
      <alignment horizontal="center"/>
    </xf>
    <xf numFmtId="0" fontId="32" fillId="0" borderId="19" xfId="0" quotePrefix="1" applyFont="1" applyBorder="1" applyAlignment="1">
      <alignment horizontal="center"/>
    </xf>
    <xf numFmtId="0" fontId="32" fillId="0" borderId="20" xfId="0" quotePrefix="1" applyFont="1" applyBorder="1" applyAlignment="1">
      <alignment horizontal="center"/>
    </xf>
    <xf numFmtId="0" fontId="32" fillId="0" borderId="21" xfId="0" quotePrefix="1" applyFont="1" applyBorder="1" applyAlignment="1">
      <alignment horizontal="center"/>
    </xf>
    <xf numFmtId="0" fontId="17" fillId="2" borderId="7" xfId="0" quotePrefix="1" applyFont="1" applyFill="1" applyBorder="1" applyAlignment="1">
      <alignment horizontal="left" wrapText="1"/>
    </xf>
    <xf numFmtId="0" fontId="17" fillId="2" borderId="0" xfId="0" quotePrefix="1" applyFont="1" applyFill="1" applyBorder="1" applyAlignment="1">
      <alignment horizontal="left" wrapText="1"/>
    </xf>
    <xf numFmtId="0" fontId="17" fillId="2" borderId="16" xfId="0" quotePrefix="1" applyFont="1" applyFill="1" applyBorder="1" applyAlignment="1">
      <alignment horizontal="left" wrapText="1"/>
    </xf>
    <xf numFmtId="49" fontId="32" fillId="0" borderId="4" xfId="7" quotePrefix="1" applyNumberFormat="1" applyFont="1" applyBorder="1" applyAlignment="1">
      <alignment horizontal="center"/>
    </xf>
    <xf numFmtId="49" fontId="32" fillId="0" borderId="4" xfId="7" applyNumberFormat="1" applyFont="1" applyBorder="1" applyAlignment="1">
      <alignment horizontal="center"/>
    </xf>
    <xf numFmtId="2" fontId="37" fillId="0" borderId="0" xfId="0" applyNumberFormat="1" applyFont="1" applyAlignment="1">
      <alignment horizontal="left" indent="3"/>
    </xf>
    <xf numFmtId="4" fontId="13" fillId="0" borderId="0" xfId="0" quotePrefix="1" applyNumberFormat="1" applyFont="1" applyAlignment="1">
      <alignment horizontal="center"/>
    </xf>
    <xf numFmtId="0" fontId="35" fillId="0" borderId="0" xfId="0" quotePrefix="1" applyFont="1" applyAlignment="1">
      <alignment horizontal="right"/>
    </xf>
    <xf numFmtId="0" fontId="35" fillId="0" borderId="0" xfId="0" applyFont="1" applyAlignment="1">
      <alignment horizontal="right"/>
    </xf>
    <xf numFmtId="0" fontId="46" fillId="0" borderId="0" xfId="0" applyFont="1" applyAlignment="1">
      <alignment horizontal="left" vertical="center"/>
    </xf>
    <xf numFmtId="0" fontId="46" fillId="0" borderId="0" xfId="0" applyFont="1" applyAlignment="1">
      <alignment horizontal="left" vertical="center" wrapText="1"/>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0" borderId="0" xfId="0"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3" fillId="0" borderId="0" xfId="0" quotePrefix="1" applyFont="1" applyAlignment="1">
      <alignment horizontal="left"/>
    </xf>
    <xf numFmtId="0" fontId="35" fillId="0" borderId="0" xfId="0" quotePrefix="1" applyFont="1" applyAlignment="1">
      <alignment horizontal="center"/>
    </xf>
    <xf numFmtId="174" fontId="13" fillId="0" borderId="9" xfId="0" applyNumberFormat="1" applyFont="1" applyBorder="1"/>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47" fillId="0" borderId="0" xfId="0" applyFont="1" applyFill="1" applyAlignment="1">
      <alignment horizontal="left" vertical="center" wrapText="1"/>
    </xf>
    <xf numFmtId="0" fontId="46" fillId="0" borderId="0" xfId="0" applyFont="1" applyFill="1" applyAlignment="1">
      <alignment horizontal="left" vertical="center" wrapText="1"/>
    </xf>
    <xf numFmtId="0" fontId="48"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xf>
    <xf numFmtId="174" fontId="13" fillId="0" borderId="0" xfId="0" applyNumberFormat="1" applyFont="1"/>
    <xf numFmtId="3" fontId="13" fillId="0" borderId="0" xfId="0" quotePrefix="1" applyNumberFormat="1" applyFont="1" applyAlignment="1">
      <alignment horizontal="center"/>
    </xf>
    <xf numFmtId="7" fontId="13" fillId="0" borderId="0" xfId="0" applyNumberFormat="1" applyFont="1" applyAlignment="1">
      <alignment horizontal="right"/>
    </xf>
    <xf numFmtId="0" fontId="13" fillId="9" borderId="1" xfId="0" applyFont="1" applyFill="1" applyBorder="1" applyAlignment="1">
      <alignment horizontal="center"/>
    </xf>
    <xf numFmtId="0" fontId="50" fillId="11" borderId="0" xfId="12" applyFont="1" applyFill="1" applyAlignment="1">
      <alignment horizontal="left" wrapText="1"/>
    </xf>
    <xf numFmtId="0" fontId="50" fillId="10" borderId="0" xfId="12" applyFont="1" applyFill="1" applyAlignment="1">
      <alignment horizontal="left" wrapText="1"/>
    </xf>
    <xf numFmtId="0" fontId="13" fillId="2" borderId="0" xfId="0" quotePrefix="1" applyFont="1" applyFill="1" applyAlignment="1">
      <alignment horizontal="left"/>
    </xf>
    <xf numFmtId="0" fontId="13" fillId="2" borderId="0" xfId="0" applyFont="1" applyFill="1" applyAlignment="1">
      <alignment horizontal="left"/>
    </xf>
    <xf numFmtId="2" fontId="13" fillId="2" borderId="23" xfId="0" applyNumberFormat="1" applyFont="1" applyFill="1" applyBorder="1" applyAlignment="1">
      <alignment horizontal="center"/>
    </xf>
    <xf numFmtId="0" fontId="13" fillId="2" borderId="0" xfId="0" applyFont="1" applyFill="1" applyAlignment="1">
      <alignment horizontal="right"/>
    </xf>
    <xf numFmtId="4" fontId="22" fillId="2" borderId="0" xfId="0" applyNumberFormat="1" applyFont="1" applyFill="1" applyAlignment="1">
      <alignment horizontal="left"/>
    </xf>
    <xf numFmtId="166" fontId="18" fillId="2" borderId="0" xfId="0" applyNumberFormat="1" applyFont="1" applyFill="1" applyAlignment="1">
      <alignment horizontal="left"/>
    </xf>
    <xf numFmtId="168" fontId="13" fillId="2" borderId="0" xfId="0" quotePrefix="1" applyNumberFormat="1" applyFont="1" applyFill="1" applyAlignment="1">
      <alignment horizontal="left"/>
    </xf>
    <xf numFmtId="168" fontId="13" fillId="2" borderId="0" xfId="0" applyNumberFormat="1" applyFont="1" applyFill="1" applyAlignment="1">
      <alignment horizontal="left"/>
    </xf>
    <xf numFmtId="0" fontId="19" fillId="2" borderId="5" xfId="0" applyFont="1" applyFill="1" applyBorder="1" applyAlignment="1">
      <alignment horizontal="center"/>
    </xf>
    <xf numFmtId="0" fontId="13" fillId="2" borderId="1" xfId="0" applyFont="1" applyFill="1" applyBorder="1" applyAlignment="1">
      <alignment horizontal="center"/>
    </xf>
    <xf numFmtId="0" fontId="19" fillId="2" borderId="1" xfId="0" applyFont="1" applyFill="1" applyBorder="1" applyAlignment="1">
      <alignment horizontal="center"/>
    </xf>
    <xf numFmtId="169" fontId="35"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3" fillId="2" borderId="0" xfId="0" applyNumberFormat="1" applyFont="1" applyFill="1" applyAlignment="1">
      <alignment horizontal="left"/>
    </xf>
    <xf numFmtId="4" fontId="13" fillId="2" borderId="0" xfId="0" quotePrefix="1" applyNumberFormat="1" applyFont="1" applyFill="1" applyAlignment="1">
      <alignment horizontal="left"/>
    </xf>
    <xf numFmtId="0" fontId="13" fillId="2" borderId="1" xfId="0" applyFont="1" applyFill="1" applyBorder="1" applyAlignment="1">
      <alignment horizontal="left"/>
    </xf>
    <xf numFmtId="2" fontId="13" fillId="2" borderId="0" xfId="0" applyNumberFormat="1" applyFont="1" applyFill="1" applyAlignment="1">
      <alignment horizontal="center"/>
    </xf>
    <xf numFmtId="0" fontId="15" fillId="2" borderId="6" xfId="0" applyFont="1" applyFill="1" applyBorder="1" applyAlignment="1">
      <alignment horizontal="left" vertical="center" wrapText="1"/>
    </xf>
    <xf numFmtId="0" fontId="15" fillId="2" borderId="0" xfId="0" applyFont="1" applyFill="1" applyAlignment="1">
      <alignment horizontal="left" vertical="center" wrapText="1"/>
    </xf>
    <xf numFmtId="2" fontId="20" fillId="2" borderId="1" xfId="0" applyNumberFormat="1" applyFont="1" applyFill="1" applyBorder="1" applyAlignment="1">
      <alignment horizontal="center"/>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2" xfId="0" applyNumberFormat="1" applyFont="1" applyFill="1" applyBorder="1" applyAlignment="1">
      <alignment horizontal="center" wrapText="1"/>
    </xf>
    <xf numFmtId="0" fontId="17" fillId="2" borderId="0" xfId="0" applyFont="1" applyFill="1" applyAlignment="1">
      <alignment horizontal="left"/>
    </xf>
    <xf numFmtId="0" fontId="17" fillId="0" borderId="0" xfId="0" applyFont="1" applyAlignment="1">
      <alignment horizontal="left"/>
    </xf>
    <xf numFmtId="0" fontId="31" fillId="2" borderId="0" xfId="0" applyFont="1" applyFill="1" applyAlignment="1">
      <alignment horizontal="left"/>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22" fillId="2" borderId="0" xfId="0" applyFont="1" applyFill="1" applyAlignment="1">
      <alignment horizontal="right"/>
    </xf>
    <xf numFmtId="0" fontId="22" fillId="2" borderId="0" xfId="0" quotePrefix="1" applyFont="1" applyFill="1" applyAlignment="1">
      <alignment horizontal="center"/>
    </xf>
    <xf numFmtId="0" fontId="22" fillId="2" borderId="0" xfId="0" applyFont="1" applyFill="1" applyAlignment="1">
      <alignment horizontal="center"/>
    </xf>
    <xf numFmtId="168" fontId="17" fillId="2" borderId="0" xfId="0" quotePrefix="1" applyNumberFormat="1" applyFont="1" applyFill="1" applyAlignment="1">
      <alignment horizontal="left"/>
    </xf>
    <xf numFmtId="168" fontId="17" fillId="2" borderId="0" xfId="0" applyNumberFormat="1" applyFont="1" applyFill="1" applyAlignment="1">
      <alignment horizontal="left"/>
    </xf>
    <xf numFmtId="168" fontId="41" fillId="2" borderId="0" xfId="0" quotePrefix="1" applyNumberFormat="1" applyFont="1" applyFill="1" applyAlignment="1">
      <alignment horizontal="left"/>
    </xf>
    <xf numFmtId="168" fontId="41" fillId="2" borderId="0" xfId="0" applyNumberFormat="1" applyFont="1" applyFill="1" applyAlignment="1">
      <alignment horizontal="left"/>
    </xf>
    <xf numFmtId="0" fontId="13" fillId="2" borderId="0" xfId="0" quotePrefix="1"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0" fontId="13" fillId="2" borderId="0" xfId="0" applyFont="1" applyFill="1" applyAlignment="1">
      <alignment horizontal="left" wrapText="1"/>
    </xf>
    <xf numFmtId="168" fontId="13" fillId="2" borderId="0" xfId="0" applyNumberFormat="1" applyFont="1" applyFill="1" applyAlignment="1">
      <alignment horizontal="center"/>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7" fontId="16" fillId="2" borderId="0" xfId="0" applyNumberFormat="1" applyFont="1" applyFill="1" applyAlignment="1">
      <alignment horizontal="center"/>
    </xf>
    <xf numFmtId="0" fontId="15" fillId="2" borderId="0" xfId="0" quotePrefix="1" applyFont="1" applyFill="1" applyAlignment="1">
      <alignment horizontal="left"/>
    </xf>
    <xf numFmtId="0" fontId="15" fillId="2" borderId="0" xfId="0" applyFont="1" applyFill="1" applyAlignment="1">
      <alignment horizontal="left"/>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168" fontId="13" fillId="6" borderId="0" xfId="0" applyNumberFormat="1" applyFont="1" applyFill="1" applyAlignment="1">
      <alignment horizontal="center"/>
    </xf>
    <xf numFmtId="0" fontId="36" fillId="0" borderId="7" xfId="0" applyFont="1" applyBorder="1" applyAlignment="1">
      <alignment horizontal="left"/>
    </xf>
    <xf numFmtId="0" fontId="36"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4" fontId="13" fillId="0" borderId="0" xfId="0" applyNumberFormat="1" applyFont="1" applyAlignment="1">
      <alignment horizontal="left"/>
    </xf>
    <xf numFmtId="0" fontId="15" fillId="2" borderId="0" xfId="0" applyFont="1" applyFill="1" applyAlignment="1">
      <alignment horizontal="center"/>
    </xf>
    <xf numFmtId="168" fontId="13" fillId="6" borderId="6" xfId="0" applyNumberFormat="1" applyFont="1" applyFill="1" applyBorder="1" applyAlignment="1">
      <alignment horizontal="center"/>
    </xf>
    <xf numFmtId="2" fontId="38" fillId="0" borderId="0" xfId="0" applyNumberFormat="1" applyFont="1" applyAlignment="1">
      <alignment horizontal="center" wrapText="1"/>
    </xf>
    <xf numFmtId="2" fontId="38" fillId="0" borderId="1" xfId="0" applyNumberFormat="1" applyFont="1" applyBorder="1" applyAlignment="1">
      <alignment horizontal="center" wrapText="1"/>
    </xf>
    <xf numFmtId="0" fontId="45" fillId="0" borderId="0" xfId="0" quotePrefix="1" applyFont="1" applyAlignment="1">
      <alignment horizontal="left" vertical="center" wrapText="1"/>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0" fontId="4" fillId="2" borderId="0" xfId="0" quotePrefix="1" applyFont="1" applyFill="1" applyAlignment="1">
      <alignment horizontal="center"/>
    </xf>
    <xf numFmtId="0" fontId="13" fillId="2" borderId="0" xfId="0" quotePrefix="1" applyFont="1" applyFill="1" applyAlignment="1"/>
    <xf numFmtId="0" fontId="13" fillId="2" borderId="0" xfId="0" applyFont="1" applyFill="1" applyAlignment="1"/>
    <xf numFmtId="7" fontId="13"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26">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Z60"/>
  <sheetViews>
    <sheetView workbookViewId="0">
      <selection activeCell="J6" sqref="J6"/>
    </sheetView>
  </sheetViews>
  <sheetFormatPr defaultColWidth="9.140625" defaultRowHeight="12.75" x14ac:dyDescent="0.2"/>
  <cols>
    <col min="1" max="1" width="4" style="188" bestFit="1" customWidth="1"/>
    <col min="2" max="2" width="6" style="188" customWidth="1"/>
    <col min="3" max="3" width="36.28515625" style="188" bestFit="1" customWidth="1"/>
    <col min="4" max="4" width="4" style="192" bestFit="1" customWidth="1"/>
    <col min="5" max="5" width="4.28515625" style="192" bestFit="1" customWidth="1"/>
    <col min="6" max="7" width="9.140625" style="188"/>
    <col min="8" max="8" width="2.7109375" style="188" customWidth="1"/>
    <col min="9" max="10" width="14.5703125" style="188" bestFit="1" customWidth="1"/>
    <col min="11" max="11" width="13.140625" style="188" bestFit="1" customWidth="1"/>
    <col min="12" max="12" width="14.5703125" style="188" bestFit="1" customWidth="1"/>
    <col min="13" max="13" width="13.5703125" style="188" bestFit="1" customWidth="1"/>
    <col min="14" max="14" width="2.7109375" style="188" customWidth="1"/>
    <col min="15" max="15" width="10" style="188" bestFit="1" customWidth="1"/>
    <col min="16" max="16" width="2.7109375" style="188" customWidth="1"/>
    <col min="17" max="17" width="10" style="239" bestFit="1" customWidth="1"/>
    <col min="18" max="18" width="8.140625" style="239" bestFit="1" customWidth="1"/>
    <col min="19" max="19" width="10" style="239" bestFit="1" customWidth="1"/>
    <col min="20" max="20" width="2.7109375" style="188" customWidth="1"/>
    <col min="21" max="21" width="9.140625" style="188"/>
    <col min="22" max="23" width="10" style="188" bestFit="1" customWidth="1"/>
    <col min="24" max="16384" width="9.140625" style="188"/>
  </cols>
  <sheetData>
    <row r="4" spans="1:26" x14ac:dyDescent="0.2">
      <c r="D4" s="316"/>
      <c r="E4" s="325">
        <v>0.75</v>
      </c>
      <c r="F4" s="316" t="s">
        <v>290</v>
      </c>
      <c r="G4" s="316" t="s">
        <v>292</v>
      </c>
      <c r="H4" s="317"/>
      <c r="I4" s="559" t="s">
        <v>291</v>
      </c>
      <c r="J4" s="560"/>
      <c r="K4" s="560"/>
      <c r="L4" s="561"/>
      <c r="M4" s="316" t="s">
        <v>313</v>
      </c>
      <c r="N4" s="195"/>
      <c r="Q4" s="562" t="s">
        <v>326</v>
      </c>
      <c r="R4" s="562"/>
      <c r="S4" s="562"/>
      <c r="U4" s="563" t="s">
        <v>311</v>
      </c>
      <c r="V4" s="563"/>
      <c r="W4" s="563"/>
    </row>
    <row r="5" spans="1:26" x14ac:dyDescent="0.2">
      <c r="A5" s="188" t="s">
        <v>329</v>
      </c>
      <c r="B5" s="188" t="s">
        <v>329</v>
      </c>
      <c r="C5" s="188" t="s">
        <v>329</v>
      </c>
      <c r="D5" s="318" t="s">
        <v>305</v>
      </c>
      <c r="E5" s="318" t="s">
        <v>304</v>
      </c>
      <c r="F5" s="318" t="s">
        <v>292</v>
      </c>
      <c r="G5" s="395" t="s">
        <v>383</v>
      </c>
      <c r="H5" s="317" t="s">
        <v>329</v>
      </c>
      <c r="I5" s="234" t="s">
        <v>293</v>
      </c>
      <c r="J5" s="234" t="s">
        <v>382</v>
      </c>
      <c r="K5" s="234" t="s">
        <v>294</v>
      </c>
      <c r="L5" s="319" t="s">
        <v>295</v>
      </c>
      <c r="M5" s="318" t="s">
        <v>314</v>
      </c>
      <c r="N5" s="195" t="s">
        <v>329</v>
      </c>
      <c r="O5" s="234" t="s">
        <v>306</v>
      </c>
      <c r="P5" s="188" t="s">
        <v>329</v>
      </c>
      <c r="Q5" s="328" t="s">
        <v>307</v>
      </c>
      <c r="R5" s="328" t="s">
        <v>308</v>
      </c>
      <c r="S5" s="328" t="s">
        <v>309</v>
      </c>
      <c r="T5" s="188" t="s">
        <v>329</v>
      </c>
      <c r="U5" s="234" t="s">
        <v>305</v>
      </c>
      <c r="V5" s="234" t="s">
        <v>310</v>
      </c>
      <c r="W5" s="234" t="s">
        <v>312</v>
      </c>
    </row>
    <row r="6" spans="1:26" x14ac:dyDescent="0.2">
      <c r="A6" s="216">
        <v>1</v>
      </c>
      <c r="B6" s="320" t="s">
        <v>159</v>
      </c>
      <c r="C6" s="321" t="s">
        <v>191</v>
      </c>
      <c r="D6" s="373" t="str">
        <f>'1461'!G$135</f>
        <v>H</v>
      </c>
      <c r="E6" s="373" t="str">
        <f>'1461'!H$133</f>
        <v/>
      </c>
      <c r="F6" s="329">
        <f t="shared" ref="F6:F49" si="0">-K6/I6</f>
        <v>6.1483025371685904E-3</v>
      </c>
      <c r="G6" s="394">
        <f t="shared" ref="G6:G54" si="1">-K6/J6</f>
        <v>6.3855327547639893E-3</v>
      </c>
      <c r="H6" s="322"/>
      <c r="I6" s="330">
        <f>'1461'!I$128</f>
        <v>6415434.1400000006</v>
      </c>
      <c r="J6" s="330">
        <f>I6-'1461'!I$53</f>
        <v>6177093.0500000007</v>
      </c>
      <c r="K6" s="330">
        <f>'1461'!I$135</f>
        <v>-39444.03</v>
      </c>
      <c r="L6" s="330">
        <f>I6+K6</f>
        <v>6375990.1100000003</v>
      </c>
      <c r="M6" s="330">
        <f>'1461'!I$145</f>
        <v>-7112.47</v>
      </c>
      <c r="N6" s="202"/>
      <c r="O6" s="330">
        <f>'1461'!E$30</f>
        <v>783.0200000000001</v>
      </c>
      <c r="Q6" s="331">
        <f>I6/O6</f>
        <v>8193.1932006845291</v>
      </c>
      <c r="R6" s="331">
        <f t="shared" ref="R6:R48" si="2">K6/O6</f>
        <v>-50.374230543281136</v>
      </c>
      <c r="S6" s="331">
        <f t="shared" ref="S6:S48" si="3">L6/O6</f>
        <v>8142.8189701412475</v>
      </c>
      <c r="U6" s="331">
        <f t="shared" ref="U6:U52" si="4">IF(D6="H",S6,0)</f>
        <v>8142.8189701412475</v>
      </c>
      <c r="V6" s="331">
        <f t="shared" ref="V6:V52" si="5">ROUND(IF(E6=1,S6,0),2)</f>
        <v>0</v>
      </c>
      <c r="W6" s="331">
        <f t="shared" ref="W6:W48" si="6">IF(AND(U6=0,V6=0),S6,)</f>
        <v>0</v>
      </c>
    </row>
    <row r="7" spans="1:26" x14ac:dyDescent="0.2">
      <c r="A7" s="216">
        <v>2</v>
      </c>
      <c r="B7" s="320" t="s">
        <v>160</v>
      </c>
      <c r="C7" s="321" t="s">
        <v>193</v>
      </c>
      <c r="D7" s="373" t="str">
        <f>'1571'!G$135</f>
        <v>H</v>
      </c>
      <c r="E7" s="373" t="str">
        <f>'1571'!H$133</f>
        <v/>
      </c>
      <c r="F7" s="329">
        <f t="shared" si="0"/>
        <v>4.5517107588381976E-3</v>
      </c>
      <c r="G7" s="394">
        <f t="shared" si="1"/>
        <v>4.7460843694961778E-3</v>
      </c>
      <c r="H7" s="322"/>
      <c r="I7" s="330">
        <f>'1571'!I$128</f>
        <v>8798184.2700000014</v>
      </c>
      <c r="J7" s="330">
        <f>I7-'1571'!I$53</f>
        <v>8437858.8500000015</v>
      </c>
      <c r="K7" s="330">
        <f>'1571'!I$135</f>
        <v>-40046.79</v>
      </c>
      <c r="L7" s="330">
        <f t="shared" ref="L7:L51" si="7">I7+K7</f>
        <v>8758137.4800000023</v>
      </c>
      <c r="M7" s="330">
        <f>'1571'!I$145</f>
        <v>13200.45</v>
      </c>
      <c r="N7" s="202"/>
      <c r="O7" s="330">
        <f>'1571'!E$30</f>
        <v>1053.5</v>
      </c>
      <c r="Q7" s="331">
        <f t="shared" ref="Q7:Q49" si="8">I7/O7</f>
        <v>8351.3851637399166</v>
      </c>
      <c r="R7" s="331">
        <f t="shared" si="2"/>
        <v>-38.01308970099668</v>
      </c>
      <c r="S7" s="331">
        <f t="shared" si="3"/>
        <v>8313.3720740389199</v>
      </c>
      <c r="U7" s="331">
        <f t="shared" si="4"/>
        <v>8313.3720740389199</v>
      </c>
      <c r="V7" s="331">
        <f t="shared" si="5"/>
        <v>0</v>
      </c>
      <c r="W7" s="331">
        <f t="shared" si="6"/>
        <v>0</v>
      </c>
    </row>
    <row r="8" spans="1:26" x14ac:dyDescent="0.2">
      <c r="A8" s="216">
        <v>3</v>
      </c>
      <c r="B8" s="320" t="s">
        <v>161</v>
      </c>
      <c r="C8" s="321" t="s">
        <v>194</v>
      </c>
      <c r="D8" s="373">
        <f>'2521'!G$135</f>
        <v>0</v>
      </c>
      <c r="E8" s="373">
        <f>'2521'!H$133</f>
        <v>1</v>
      </c>
      <c r="F8" s="329">
        <f t="shared" si="0"/>
        <v>2.3584455837607203E-2</v>
      </c>
      <c r="G8" s="394">
        <f t="shared" si="1"/>
        <v>2.4464056050865331E-2</v>
      </c>
      <c r="H8" s="322"/>
      <c r="I8" s="330">
        <f>'2521'!I$128</f>
        <v>1175829.97</v>
      </c>
      <c r="J8" s="330">
        <f>I8-'2521'!I$53</f>
        <v>1133553.24</v>
      </c>
      <c r="K8" s="330">
        <f>'2521'!I$135</f>
        <v>-27731.31</v>
      </c>
      <c r="L8" s="330">
        <f t="shared" si="7"/>
        <v>1148098.6599999999</v>
      </c>
      <c r="M8" s="330">
        <f>'2521'!I$145</f>
        <v>7847.96</v>
      </c>
      <c r="N8" s="202"/>
      <c r="O8" s="330">
        <f>'2521'!E$30</f>
        <v>72.37</v>
      </c>
      <c r="Q8" s="331">
        <f t="shared" si="8"/>
        <v>16247.477822302057</v>
      </c>
      <c r="R8" s="331">
        <f t="shared" si="2"/>
        <v>-383.18792317258533</v>
      </c>
      <c r="S8" s="331">
        <f t="shared" si="3"/>
        <v>15864.289899129471</v>
      </c>
      <c r="U8" s="331">
        <f t="shared" si="4"/>
        <v>0</v>
      </c>
      <c r="V8" s="331">
        <f t="shared" si="5"/>
        <v>15864.29</v>
      </c>
      <c r="W8" s="331">
        <f t="shared" si="6"/>
        <v>0</v>
      </c>
    </row>
    <row r="9" spans="1:26" x14ac:dyDescent="0.2">
      <c r="A9" s="216">
        <v>4</v>
      </c>
      <c r="B9" s="320" t="s">
        <v>162</v>
      </c>
      <c r="C9" s="321" t="s">
        <v>195</v>
      </c>
      <c r="D9" s="373">
        <f>'2531'!G$135</f>
        <v>0</v>
      </c>
      <c r="E9" s="373">
        <f>'2531'!H$133</f>
        <v>1</v>
      </c>
      <c r="F9" s="329">
        <f t="shared" si="0"/>
        <v>1.0123650649598115E-2</v>
      </c>
      <c r="G9" s="394">
        <f t="shared" si="1"/>
        <v>1.0601202661673135E-2</v>
      </c>
      <c r="H9" s="322"/>
      <c r="I9" s="330">
        <f>'2531'!I$128</f>
        <v>901136.39000000013</v>
      </c>
      <c r="J9" s="330">
        <f>I9-'2531'!I$53</f>
        <v>860542.93000000017</v>
      </c>
      <c r="K9" s="330">
        <f>'2531'!I$135</f>
        <v>-9122.7900000000009</v>
      </c>
      <c r="L9" s="330">
        <f t="shared" si="7"/>
        <v>892013.60000000009</v>
      </c>
      <c r="M9" s="330">
        <f>'2531'!I$145</f>
        <v>188.55</v>
      </c>
      <c r="N9" s="202"/>
      <c r="O9" s="330">
        <f>'2531'!E$30</f>
        <v>24.02</v>
      </c>
      <c r="Q9" s="331">
        <f t="shared" si="8"/>
        <v>37516.086178184851</v>
      </c>
      <c r="R9" s="331">
        <f t="shared" si="2"/>
        <v>-379.79975020815994</v>
      </c>
      <c r="S9" s="331">
        <f t="shared" si="3"/>
        <v>37136.286427976687</v>
      </c>
      <c r="U9" s="331">
        <f t="shared" si="4"/>
        <v>0</v>
      </c>
      <c r="V9" s="331">
        <f t="shared" si="5"/>
        <v>37136.29</v>
      </c>
      <c r="W9" s="331">
        <f t="shared" si="6"/>
        <v>0</v>
      </c>
    </row>
    <row r="10" spans="1:26" x14ac:dyDescent="0.2">
      <c r="A10" s="216">
        <v>5</v>
      </c>
      <c r="B10" s="320" t="s">
        <v>163</v>
      </c>
      <c r="C10" s="321" t="s">
        <v>296</v>
      </c>
      <c r="D10" s="373">
        <f>'2791'!G$135</f>
        <v>0</v>
      </c>
      <c r="E10" s="373">
        <f>'2791'!H$133</f>
        <v>1</v>
      </c>
      <c r="F10" s="329">
        <f t="shared" si="0"/>
        <v>1.1768684971987757E-2</v>
      </c>
      <c r="G10" s="394">
        <f t="shared" si="1"/>
        <v>1.2349971178844265E-2</v>
      </c>
      <c r="H10" s="322"/>
      <c r="I10" s="330">
        <f>'2791'!I$128</f>
        <v>4360648.63</v>
      </c>
      <c r="J10" s="330">
        <f>I10-'2791'!I$53</f>
        <v>4155402.4099999997</v>
      </c>
      <c r="K10" s="330">
        <f>'2791'!I$135</f>
        <v>-51319.1</v>
      </c>
      <c r="L10" s="330">
        <f t="shared" si="7"/>
        <v>4309329.53</v>
      </c>
      <c r="M10" s="330">
        <f>'2791'!I$145</f>
        <v>8074.59</v>
      </c>
      <c r="N10" s="202"/>
      <c r="O10" s="330">
        <f>'2791'!E$30</f>
        <v>138.20999999999998</v>
      </c>
      <c r="Q10" s="331">
        <f t="shared" si="8"/>
        <v>31550.890890673618</v>
      </c>
      <c r="R10" s="331">
        <f t="shared" si="2"/>
        <v>-371.31249547789599</v>
      </c>
      <c r="S10" s="331">
        <f t="shared" si="3"/>
        <v>31179.578395195724</v>
      </c>
      <c r="U10" s="331">
        <f t="shared" si="4"/>
        <v>0</v>
      </c>
      <c r="V10" s="331">
        <f t="shared" si="5"/>
        <v>31179.58</v>
      </c>
      <c r="W10" s="331">
        <f t="shared" si="6"/>
        <v>0</v>
      </c>
    </row>
    <row r="11" spans="1:26" x14ac:dyDescent="0.2">
      <c r="A11" s="216">
        <v>6</v>
      </c>
      <c r="B11" s="320" t="s">
        <v>164</v>
      </c>
      <c r="C11" s="323" t="s">
        <v>379</v>
      </c>
      <c r="D11" s="373">
        <f>'2801'!G$135</f>
        <v>0</v>
      </c>
      <c r="E11" s="373" t="str">
        <f>'2801'!H$133</f>
        <v/>
      </c>
      <c r="F11" s="329">
        <f t="shared" si="0"/>
        <v>2.0383876605501498E-2</v>
      </c>
      <c r="G11" s="394">
        <f t="shared" si="1"/>
        <v>2.1229619111660991E-2</v>
      </c>
      <c r="H11" s="322"/>
      <c r="I11" s="330">
        <f>'2801'!I$128</f>
        <v>5249299.83</v>
      </c>
      <c r="J11" s="330">
        <f>I11-'2801'!I$53</f>
        <v>5040178.9800000004</v>
      </c>
      <c r="K11" s="330">
        <f>'2801'!I$135</f>
        <v>-107001.08</v>
      </c>
      <c r="L11" s="330">
        <f t="shared" si="7"/>
        <v>5142298.75</v>
      </c>
      <c r="M11" s="330">
        <f>'2801'!I$145</f>
        <v>-6778.84</v>
      </c>
      <c r="N11" s="202"/>
      <c r="O11" s="330">
        <f>'2801'!E$30</f>
        <v>588.80000000000007</v>
      </c>
      <c r="Q11" s="331">
        <f t="shared" si="8"/>
        <v>8915.2510699728246</v>
      </c>
      <c r="R11" s="331">
        <f t="shared" si="2"/>
        <v>-181.72737771739128</v>
      </c>
      <c r="S11" s="331">
        <f t="shared" si="3"/>
        <v>8733.5236922554341</v>
      </c>
      <c r="U11" s="331">
        <f t="shared" si="4"/>
        <v>0</v>
      </c>
      <c r="V11" s="331">
        <f t="shared" si="5"/>
        <v>0</v>
      </c>
      <c r="W11" s="331">
        <f t="shared" si="6"/>
        <v>8733.5236922554341</v>
      </c>
    </row>
    <row r="12" spans="1:26" x14ac:dyDescent="0.2">
      <c r="A12" s="216">
        <v>7</v>
      </c>
      <c r="B12" s="320" t="s">
        <v>165</v>
      </c>
      <c r="C12" s="321" t="s">
        <v>197</v>
      </c>
      <c r="D12" s="373" t="str">
        <f>'2911'!G$135</f>
        <v>H</v>
      </c>
      <c r="E12" s="373" t="str">
        <f>'2911'!H$133</f>
        <v/>
      </c>
      <c r="F12" s="329">
        <f t="shared" si="0"/>
        <v>7.4898560074664611E-3</v>
      </c>
      <c r="G12" s="394">
        <f t="shared" si="1"/>
        <v>7.765662775956775E-3</v>
      </c>
      <c r="H12" s="322"/>
      <c r="I12" s="330">
        <f>'2911'!I$128</f>
        <v>5415407.1799999997</v>
      </c>
      <c r="J12" s="330">
        <f>I12-'2911'!I$53</f>
        <v>5223072.54</v>
      </c>
      <c r="K12" s="330">
        <f>'2911'!I$135</f>
        <v>-40560.620000000003</v>
      </c>
      <c r="L12" s="330">
        <f t="shared" si="7"/>
        <v>5374846.5599999996</v>
      </c>
      <c r="M12" s="330">
        <f>'2911'!I$145</f>
        <v>-1432.76</v>
      </c>
      <c r="N12" s="202"/>
      <c r="O12" s="330">
        <f>'2911'!E$30</f>
        <v>643.8599999999999</v>
      </c>
      <c r="Q12" s="331">
        <f t="shared" si="8"/>
        <v>8410.8458049886631</v>
      </c>
      <c r="R12" s="331">
        <f t="shared" si="2"/>
        <v>-62.99602398036842</v>
      </c>
      <c r="S12" s="331">
        <f t="shared" si="3"/>
        <v>8347.8497810082936</v>
      </c>
      <c r="U12" s="331">
        <f t="shared" si="4"/>
        <v>8347.8497810082936</v>
      </c>
      <c r="V12" s="331">
        <f t="shared" si="5"/>
        <v>0</v>
      </c>
      <c r="W12" s="331">
        <f t="shared" si="6"/>
        <v>0</v>
      </c>
    </row>
    <row r="13" spans="1:26" x14ac:dyDescent="0.2">
      <c r="A13" s="216">
        <v>8</v>
      </c>
      <c r="B13" s="320" t="s">
        <v>166</v>
      </c>
      <c r="C13" s="321" t="s">
        <v>198</v>
      </c>
      <c r="D13" s="373">
        <f>'2941'!G$135</f>
        <v>0</v>
      </c>
      <c r="E13" s="373">
        <f>'2941'!H$133</f>
        <v>1</v>
      </c>
      <c r="F13" s="329">
        <f t="shared" si="0"/>
        <v>9.1663000158390944E-3</v>
      </c>
      <c r="G13" s="394">
        <f t="shared" si="1"/>
        <v>9.5806874689186184E-3</v>
      </c>
      <c r="H13" s="322"/>
      <c r="I13" s="330">
        <f>'2941'!I$128</f>
        <v>10115982.439999999</v>
      </c>
      <c r="J13" s="330">
        <f>I13-'2941'!I$53</f>
        <v>9678442.209999999</v>
      </c>
      <c r="K13" s="330">
        <f>'2941'!I$135</f>
        <v>-92726.13</v>
      </c>
      <c r="L13" s="330">
        <f t="shared" si="7"/>
        <v>10023256.309999999</v>
      </c>
      <c r="M13" s="330">
        <f>'2941'!I$145</f>
        <v>-8509.06</v>
      </c>
      <c r="N13" s="202"/>
      <c r="O13" s="330">
        <f>'2941'!E$30</f>
        <v>369.41</v>
      </c>
      <c r="Q13" s="331">
        <f t="shared" si="8"/>
        <v>27384.159714138757</v>
      </c>
      <c r="R13" s="331">
        <f t="shared" si="2"/>
        <v>-251.0114236214504</v>
      </c>
      <c r="S13" s="331">
        <f t="shared" si="3"/>
        <v>27133.148290517307</v>
      </c>
      <c r="U13" s="331">
        <f t="shared" si="4"/>
        <v>0</v>
      </c>
      <c r="V13" s="331">
        <f t="shared" si="5"/>
        <v>27133.15</v>
      </c>
      <c r="W13" s="331">
        <f t="shared" si="6"/>
        <v>0</v>
      </c>
    </row>
    <row r="14" spans="1:26" x14ac:dyDescent="0.2">
      <c r="A14" s="216">
        <v>9</v>
      </c>
      <c r="B14" s="320" t="s">
        <v>167</v>
      </c>
      <c r="C14" s="323" t="s">
        <v>388</v>
      </c>
      <c r="D14" s="373">
        <f>'3083'!G$135</f>
        <v>0</v>
      </c>
      <c r="E14" s="373">
        <f>'3083'!H$133</f>
        <v>1</v>
      </c>
      <c r="F14" s="329">
        <f t="shared" si="0"/>
        <v>1.0757988424543478E-2</v>
      </c>
      <c r="G14" s="394">
        <f t="shared" si="1"/>
        <v>1.1175665828252053E-2</v>
      </c>
      <c r="H14" s="322"/>
      <c r="I14" s="330">
        <f>'3083'!I$128</f>
        <v>4794841.5600000005</v>
      </c>
      <c r="J14" s="330">
        <f>I14-'3083'!I$53</f>
        <v>4615639.9800000004</v>
      </c>
      <c r="K14" s="330">
        <f>'3083'!I$135</f>
        <v>-51582.85</v>
      </c>
      <c r="L14" s="330">
        <f t="shared" si="7"/>
        <v>4743258.7100000009</v>
      </c>
      <c r="M14" s="330">
        <f>'3083'!I$145</f>
        <v>-6702.48</v>
      </c>
      <c r="N14" s="202"/>
      <c r="O14" s="330">
        <f>'3083'!E$30</f>
        <v>139.26999999999998</v>
      </c>
      <c r="Q14" s="331">
        <f t="shared" si="8"/>
        <v>34428.387736052282</v>
      </c>
      <c r="R14" s="331">
        <f t="shared" si="2"/>
        <v>-370.3801967401451</v>
      </c>
      <c r="S14" s="331">
        <f t="shared" si="3"/>
        <v>34058.007539312137</v>
      </c>
      <c r="U14" s="331">
        <f t="shared" si="4"/>
        <v>0</v>
      </c>
      <c r="V14" s="331">
        <f t="shared" si="5"/>
        <v>34058.01</v>
      </c>
      <c r="W14" s="331">
        <f t="shared" si="6"/>
        <v>0</v>
      </c>
    </row>
    <row r="15" spans="1:26" x14ac:dyDescent="0.2">
      <c r="A15" s="216">
        <v>10</v>
      </c>
      <c r="B15" s="320" t="s">
        <v>168</v>
      </c>
      <c r="C15" s="323" t="s">
        <v>387</v>
      </c>
      <c r="D15" s="374">
        <f>'3345'!G$135</f>
        <v>0</v>
      </c>
      <c r="E15" s="374">
        <f>'3345'!H$133</f>
        <v>1</v>
      </c>
      <c r="F15" s="329">
        <f t="shared" si="0"/>
        <v>2.751321484091418E-2</v>
      </c>
      <c r="G15" s="394">
        <f t="shared" si="1"/>
        <v>2.7929511111965885E-2</v>
      </c>
      <c r="H15" s="322"/>
      <c r="I15" s="330">
        <f>'3345'!I$128</f>
        <v>1042976.99</v>
      </c>
      <c r="J15" s="330">
        <f>I15-'3345'!I$53</f>
        <v>1027431.16</v>
      </c>
      <c r="K15" s="330">
        <f>'3345'!I$135</f>
        <v>-28695.65</v>
      </c>
      <c r="L15" s="330">
        <f t="shared" si="7"/>
        <v>1014281.34</v>
      </c>
      <c r="M15" s="330">
        <f>'3345'!I$145</f>
        <v>-1153.78</v>
      </c>
      <c r="N15" s="202"/>
      <c r="O15" s="330">
        <f>'3345'!E$30</f>
        <v>72.460000000000008</v>
      </c>
      <c r="Q15" s="331">
        <f t="shared" si="8"/>
        <v>14393.830941208942</v>
      </c>
      <c r="R15" s="331">
        <f t="shared" si="2"/>
        <v>-396.0205630692796</v>
      </c>
      <c r="S15" s="331">
        <f t="shared" si="3"/>
        <v>13997.810378139662</v>
      </c>
      <c r="U15" s="331">
        <f t="shared" si="4"/>
        <v>0</v>
      </c>
      <c r="V15" s="331">
        <f t="shared" si="5"/>
        <v>13997.81</v>
      </c>
      <c r="W15" s="331">
        <f t="shared" si="6"/>
        <v>0</v>
      </c>
      <c r="Z15" s="295"/>
    </row>
    <row r="16" spans="1:26" x14ac:dyDescent="0.2">
      <c r="A16" s="216">
        <v>11</v>
      </c>
      <c r="B16" s="320" t="s">
        <v>169</v>
      </c>
      <c r="C16" s="321" t="s">
        <v>201</v>
      </c>
      <c r="D16" s="373" t="str">
        <f>'3381'!G$135</f>
        <v>H</v>
      </c>
      <c r="E16" s="373" t="str">
        <f>'3381'!H$133</f>
        <v/>
      </c>
      <c r="F16" s="329">
        <f t="shared" si="0"/>
        <v>4.5757340149976426E-3</v>
      </c>
      <c r="G16" s="394">
        <f t="shared" si="1"/>
        <v>4.7652176551219259E-3</v>
      </c>
      <c r="H16" s="322"/>
      <c r="I16" s="330">
        <f>'3381'!I$128</f>
        <v>8869781.2999999989</v>
      </c>
      <c r="J16" s="330">
        <f>I16-'3381'!I$53</f>
        <v>8517084.1999999993</v>
      </c>
      <c r="K16" s="330">
        <f>'3381'!I$135</f>
        <v>-40585.760000000002</v>
      </c>
      <c r="L16" s="330">
        <f t="shared" si="7"/>
        <v>8829195.5399999991</v>
      </c>
      <c r="M16" s="330">
        <f>'3381'!I$145</f>
        <v>7019.81</v>
      </c>
      <c r="N16" s="202"/>
      <c r="O16" s="330">
        <f>'3381'!E$30</f>
        <v>1049.27</v>
      </c>
      <c r="Q16" s="331">
        <f t="shared" si="8"/>
        <v>8453.2878096200202</v>
      </c>
      <c r="R16" s="331">
        <f t="shared" si="2"/>
        <v>-38.67999656904324</v>
      </c>
      <c r="S16" s="331">
        <f t="shared" si="3"/>
        <v>8414.6078130509777</v>
      </c>
      <c r="U16" s="331">
        <f t="shared" si="4"/>
        <v>8414.6078130509777</v>
      </c>
      <c r="V16" s="331">
        <f t="shared" si="5"/>
        <v>0</v>
      </c>
      <c r="W16" s="331">
        <f t="shared" si="6"/>
        <v>0</v>
      </c>
      <c r="Z16" s="295"/>
    </row>
    <row r="17" spans="1:23" x14ac:dyDescent="0.2">
      <c r="A17" s="216">
        <v>12</v>
      </c>
      <c r="B17" s="320" t="s">
        <v>170</v>
      </c>
      <c r="C17" s="321" t="s">
        <v>203</v>
      </c>
      <c r="D17" s="373">
        <f>'3382'!G$135</f>
        <v>0</v>
      </c>
      <c r="E17" s="373" t="str">
        <f>'3382'!H$133</f>
        <v/>
      </c>
      <c r="F17" s="329">
        <f t="shared" si="0"/>
        <v>4.7160709058431907E-2</v>
      </c>
      <c r="G17" s="394">
        <f t="shared" si="1"/>
        <v>4.9094693881546768E-2</v>
      </c>
      <c r="H17" s="322"/>
      <c r="I17" s="330">
        <f>'3382'!I$128</f>
        <v>2256498.94</v>
      </c>
      <c r="J17" s="330">
        <f>I17-'3382'!I$53</f>
        <v>2167608.79</v>
      </c>
      <c r="K17" s="330">
        <f>'3382'!I$135</f>
        <v>-106418.09</v>
      </c>
      <c r="L17" s="330">
        <f t="shared" si="7"/>
        <v>2150080.85</v>
      </c>
      <c r="M17" s="330">
        <f>'3382'!I$145</f>
        <v>-2232.2199999999998</v>
      </c>
      <c r="N17" s="202"/>
      <c r="O17" s="330">
        <f>'3382'!E$30</f>
        <v>254.60999999999999</v>
      </c>
      <c r="Q17" s="331">
        <f t="shared" si="8"/>
        <v>8862.5699697576692</v>
      </c>
      <c r="R17" s="331">
        <f t="shared" si="2"/>
        <v>-417.9650838537371</v>
      </c>
      <c r="S17" s="331">
        <f t="shared" si="3"/>
        <v>8444.6048859039329</v>
      </c>
      <c r="U17" s="331">
        <f t="shared" si="4"/>
        <v>0</v>
      </c>
      <c r="V17" s="331">
        <f t="shared" si="5"/>
        <v>0</v>
      </c>
      <c r="W17" s="331">
        <f t="shared" si="6"/>
        <v>8444.6048859039329</v>
      </c>
    </row>
    <row r="18" spans="1:23" x14ac:dyDescent="0.2">
      <c r="A18" s="216">
        <v>13</v>
      </c>
      <c r="B18" s="320" t="s">
        <v>171</v>
      </c>
      <c r="C18" s="321" t="s">
        <v>205</v>
      </c>
      <c r="D18" s="373">
        <f>'3391'!G$135</f>
        <v>0</v>
      </c>
      <c r="E18" s="373">
        <f>'3391'!H$133</f>
        <v>1</v>
      </c>
      <c r="F18" s="329">
        <f t="shared" si="0"/>
        <v>2.3960528837419948E-2</v>
      </c>
      <c r="G18" s="394">
        <f t="shared" si="1"/>
        <v>2.4587170881518575E-2</v>
      </c>
      <c r="H18" s="322"/>
      <c r="I18" s="330">
        <f>'3391'!I$128</f>
        <v>400847.58</v>
      </c>
      <c r="J18" s="330">
        <f>I18-'3391'!I$53</f>
        <v>390631.36000000004</v>
      </c>
      <c r="K18" s="330">
        <f>'3391'!I$135</f>
        <v>-9604.52</v>
      </c>
      <c r="L18" s="330">
        <f t="shared" si="7"/>
        <v>391243.06</v>
      </c>
      <c r="M18" s="330">
        <f>'3391'!I$145</f>
        <v>-437.49</v>
      </c>
      <c r="N18" s="202"/>
      <c r="O18" s="330">
        <f>'3391'!E$30</f>
        <v>24.42</v>
      </c>
      <c r="Q18" s="331">
        <f t="shared" si="8"/>
        <v>16414.724815724814</v>
      </c>
      <c r="R18" s="331">
        <f t="shared" si="2"/>
        <v>-393.3054873054873</v>
      </c>
      <c r="S18" s="331">
        <f t="shared" si="3"/>
        <v>16021.419328419328</v>
      </c>
      <c r="U18" s="331">
        <f t="shared" si="4"/>
        <v>0</v>
      </c>
      <c r="V18" s="331">
        <f t="shared" si="5"/>
        <v>16021.42</v>
      </c>
      <c r="W18" s="331">
        <f t="shared" si="6"/>
        <v>0</v>
      </c>
    </row>
    <row r="19" spans="1:23" x14ac:dyDescent="0.2">
      <c r="A19" s="216">
        <v>14</v>
      </c>
      <c r="B19" s="320" t="s">
        <v>172</v>
      </c>
      <c r="C19" s="321" t="s">
        <v>206</v>
      </c>
      <c r="D19" s="373">
        <f>'3394'!G$135</f>
        <v>0</v>
      </c>
      <c r="E19" s="373" t="str">
        <f>'3394'!H$133</f>
        <v/>
      </c>
      <c r="F19" s="329">
        <f t="shared" si="0"/>
        <v>4.7990260256193296E-2</v>
      </c>
      <c r="G19" s="394">
        <f t="shared" si="1"/>
        <v>4.999999824585271E-2</v>
      </c>
      <c r="H19" s="322"/>
      <c r="I19" s="330">
        <f>'3394'!I$128</f>
        <v>1781853.8499999999</v>
      </c>
      <c r="J19" s="330">
        <f>I19-'3394'!I$53</f>
        <v>1710232.66</v>
      </c>
      <c r="K19" s="330">
        <f>'3394'!I$135</f>
        <v>-85511.63</v>
      </c>
      <c r="L19" s="330">
        <f t="shared" si="7"/>
        <v>1696342.2199999997</v>
      </c>
      <c r="M19" s="330">
        <f>'3394'!I$145</f>
        <v>-1733.5</v>
      </c>
      <c r="N19" s="202"/>
      <c r="O19" s="330">
        <f>'3394'!E$30</f>
        <v>200.85999999999999</v>
      </c>
      <c r="Q19" s="331">
        <f t="shared" si="8"/>
        <v>8871.1234192970223</v>
      </c>
      <c r="R19" s="331">
        <f t="shared" si="2"/>
        <v>-425.72752165687547</v>
      </c>
      <c r="S19" s="331">
        <f t="shared" si="3"/>
        <v>8445.3958976401464</v>
      </c>
      <c r="U19" s="331">
        <f t="shared" si="4"/>
        <v>0</v>
      </c>
      <c r="V19" s="331">
        <f t="shared" si="5"/>
        <v>0</v>
      </c>
      <c r="W19" s="331">
        <f t="shared" si="6"/>
        <v>8445.3958976401464</v>
      </c>
    </row>
    <row r="20" spans="1:23" x14ac:dyDescent="0.2">
      <c r="A20" s="216">
        <v>15</v>
      </c>
      <c r="B20" s="320" t="s">
        <v>173</v>
      </c>
      <c r="C20" s="323" t="s">
        <v>297</v>
      </c>
      <c r="D20" s="374">
        <f>'3395'!G$135</f>
        <v>0</v>
      </c>
      <c r="E20" s="374" t="str">
        <f>'3395'!H$133</f>
        <v/>
      </c>
      <c r="F20" s="329">
        <f t="shared" si="0"/>
        <v>2.290791178613993E-2</v>
      </c>
      <c r="G20" s="394">
        <f t="shared" si="1"/>
        <v>2.3845860056860055E-2</v>
      </c>
      <c r="H20" s="322"/>
      <c r="I20" s="330">
        <f>'3395'!I$128</f>
        <v>4448199.8600000003</v>
      </c>
      <c r="J20" s="330">
        <f>I20-'3395'!I$53</f>
        <v>4273235.2600000007</v>
      </c>
      <c r="K20" s="330">
        <f>'3395'!I$135</f>
        <v>-101898.97</v>
      </c>
      <c r="L20" s="330">
        <f t="shared" si="7"/>
        <v>4346300.8900000006</v>
      </c>
      <c r="M20" s="330">
        <f>'3395'!I$145</f>
        <v>-5414.23</v>
      </c>
      <c r="N20" s="202"/>
      <c r="O20" s="330">
        <f>'3395'!E$30</f>
        <v>524.19999999999993</v>
      </c>
      <c r="Q20" s="331">
        <f t="shared" si="8"/>
        <v>8485.6922167111807</v>
      </c>
      <c r="R20" s="331">
        <f t="shared" si="2"/>
        <v>-194.38948874475395</v>
      </c>
      <c r="S20" s="331">
        <f t="shared" si="3"/>
        <v>8291.3027279664275</v>
      </c>
      <c r="U20" s="331">
        <f t="shared" si="4"/>
        <v>0</v>
      </c>
      <c r="V20" s="331">
        <f t="shared" si="5"/>
        <v>0</v>
      </c>
      <c r="W20" s="331">
        <f t="shared" si="6"/>
        <v>8291.3027279664275</v>
      </c>
    </row>
    <row r="21" spans="1:23" x14ac:dyDescent="0.2">
      <c r="A21" s="216">
        <v>16</v>
      </c>
      <c r="B21" s="320" t="s">
        <v>174</v>
      </c>
      <c r="C21" s="323" t="s">
        <v>228</v>
      </c>
      <c r="D21" s="374">
        <f>'3396'!G$135</f>
        <v>0</v>
      </c>
      <c r="E21" s="374" t="str">
        <f>'3396'!H$133</f>
        <v/>
      </c>
      <c r="F21" s="329">
        <f t="shared" si="0"/>
        <v>1.7729353900372839E-2</v>
      </c>
      <c r="G21" s="394">
        <f t="shared" si="1"/>
        <v>1.8522908556099928E-2</v>
      </c>
      <c r="H21" s="322"/>
      <c r="I21" s="330">
        <f>'3396'!I$128</f>
        <v>5484697.3300000001</v>
      </c>
      <c r="J21" s="330">
        <f>I21-'3396'!I$53</f>
        <v>5249723.05</v>
      </c>
      <c r="K21" s="330">
        <f>'3396'!I$135</f>
        <v>-97240.14</v>
      </c>
      <c r="L21" s="330">
        <f t="shared" si="7"/>
        <v>5387457.1900000004</v>
      </c>
      <c r="M21" s="330">
        <f>'3396'!I$145</f>
        <v>-4275.5</v>
      </c>
      <c r="N21" s="202"/>
      <c r="O21" s="330">
        <f>'3396'!E$30</f>
        <v>674.84</v>
      </c>
      <c r="Q21" s="331">
        <f t="shared" si="8"/>
        <v>8127.4040216940311</v>
      </c>
      <c r="R21" s="331">
        <f t="shared" si="2"/>
        <v>-144.09362219192695</v>
      </c>
      <c r="S21" s="331">
        <f t="shared" si="3"/>
        <v>7983.3103995021047</v>
      </c>
      <c r="U21" s="331">
        <f t="shared" si="4"/>
        <v>0</v>
      </c>
      <c r="V21" s="331">
        <f t="shared" si="5"/>
        <v>0</v>
      </c>
      <c r="W21" s="331">
        <f t="shared" si="6"/>
        <v>7983.3103995021047</v>
      </c>
    </row>
    <row r="22" spans="1:23" x14ac:dyDescent="0.2">
      <c r="A22" s="216">
        <v>17</v>
      </c>
      <c r="B22" s="320" t="s">
        <v>175</v>
      </c>
      <c r="C22" s="321" t="s">
        <v>196</v>
      </c>
      <c r="D22" s="373">
        <f>'3398'!G$135</f>
        <v>0</v>
      </c>
      <c r="E22" s="373" t="str">
        <f>'3398'!H$133</f>
        <v/>
      </c>
      <c r="F22" s="329">
        <f t="shared" si="0"/>
        <v>4.7906726401732082E-2</v>
      </c>
      <c r="G22" s="394">
        <f t="shared" si="1"/>
        <v>4.9999997952566357E-2</v>
      </c>
      <c r="H22" s="322"/>
      <c r="I22" s="330">
        <f>'3398'!I$128</f>
        <v>1019515.0800000001</v>
      </c>
      <c r="J22" s="330">
        <f>I22-'3398'!I$53</f>
        <v>976832.64000000013</v>
      </c>
      <c r="K22" s="330">
        <f>'3398'!I$135</f>
        <v>-48841.63</v>
      </c>
      <c r="L22" s="330">
        <f t="shared" si="7"/>
        <v>970673.45000000007</v>
      </c>
      <c r="M22" s="330">
        <f>'3398'!I$145</f>
        <v>341.55</v>
      </c>
      <c r="N22" s="202"/>
      <c r="O22" s="330">
        <f>'3398'!E$30</f>
        <v>122.95</v>
      </c>
      <c r="Q22" s="331">
        <f t="shared" si="8"/>
        <v>8292.1112647417649</v>
      </c>
      <c r="R22" s="331">
        <f t="shared" si="2"/>
        <v>-397.24790565270433</v>
      </c>
      <c r="S22" s="331">
        <f t="shared" si="3"/>
        <v>7894.8633590890613</v>
      </c>
      <c r="U22" s="331">
        <f t="shared" si="4"/>
        <v>0</v>
      </c>
      <c r="V22" s="331">
        <f t="shared" si="5"/>
        <v>0</v>
      </c>
      <c r="W22" s="331">
        <f t="shared" si="6"/>
        <v>7894.8633590890613</v>
      </c>
    </row>
    <row r="23" spans="1:23" x14ac:dyDescent="0.2">
      <c r="A23" s="216">
        <v>18</v>
      </c>
      <c r="B23" s="320" t="s">
        <v>176</v>
      </c>
      <c r="C23" s="321" t="s">
        <v>190</v>
      </c>
      <c r="D23" s="373">
        <f>'3400'!G$135</f>
        <v>0</v>
      </c>
      <c r="E23" s="373">
        <f>'3400'!H$133</f>
        <v>1</v>
      </c>
      <c r="F23" s="329">
        <f t="shared" si="0"/>
        <v>3.1925144168886387E-2</v>
      </c>
      <c r="G23" s="394">
        <f t="shared" si="1"/>
        <v>3.2782516731396608E-2</v>
      </c>
      <c r="H23" s="322"/>
      <c r="I23" s="330">
        <f>'3400'!I$128</f>
        <v>1146622.23</v>
      </c>
      <c r="J23" s="330">
        <f>I23-'3400'!I$53</f>
        <v>1116634.22</v>
      </c>
      <c r="K23" s="330">
        <f>'3400'!I$135</f>
        <v>-36606.080000000002</v>
      </c>
      <c r="L23" s="330">
        <f t="shared" si="7"/>
        <v>1110016.1499999999</v>
      </c>
      <c r="M23" s="330">
        <f>'3400'!I$145</f>
        <v>949.38</v>
      </c>
      <c r="N23" s="202"/>
      <c r="O23" s="330">
        <f>'3400'!E$30</f>
        <v>93.94</v>
      </c>
      <c r="Q23" s="331">
        <f t="shared" si="8"/>
        <v>12205.899829678518</v>
      </c>
      <c r="R23" s="331">
        <f t="shared" si="2"/>
        <v>-389.67511177347245</v>
      </c>
      <c r="S23" s="331">
        <f t="shared" si="3"/>
        <v>11816.224717905045</v>
      </c>
      <c r="U23" s="331">
        <f t="shared" si="4"/>
        <v>0</v>
      </c>
      <c r="V23" s="331">
        <f t="shared" si="5"/>
        <v>11816.22</v>
      </c>
      <c r="W23" s="331">
        <f t="shared" si="6"/>
        <v>0</v>
      </c>
    </row>
    <row r="24" spans="1:23" x14ac:dyDescent="0.2">
      <c r="A24" s="216">
        <v>19</v>
      </c>
      <c r="B24" s="320" t="s">
        <v>177</v>
      </c>
      <c r="C24" s="321" t="s">
        <v>207</v>
      </c>
      <c r="D24" s="373">
        <f>'3401'!G$135</f>
        <v>0</v>
      </c>
      <c r="E24" s="373">
        <f>'3401'!H$133</f>
        <v>0</v>
      </c>
      <c r="F24" s="329">
        <f t="shared" si="0"/>
        <v>3.1498896155671724E-2</v>
      </c>
      <c r="G24" s="394">
        <f t="shared" si="1"/>
        <v>3.2642190050871531E-2</v>
      </c>
      <c r="H24" s="322"/>
      <c r="I24" s="330">
        <f>'3401'!I$128</f>
        <v>3180996.5499999993</v>
      </c>
      <c r="J24" s="330">
        <f>I24-'3401'!I$53</f>
        <v>3069582.0299999993</v>
      </c>
      <c r="K24" s="330">
        <f>'3401'!I$135</f>
        <v>-100197.88</v>
      </c>
      <c r="L24" s="330">
        <f t="shared" si="7"/>
        <v>3080798.6699999995</v>
      </c>
      <c r="M24" s="330">
        <f>'3401'!I$145</f>
        <v>-6246.12</v>
      </c>
      <c r="N24" s="202"/>
      <c r="O24" s="330">
        <f>'3401'!E$30</f>
        <v>382.94000000000005</v>
      </c>
      <c r="Q24" s="331">
        <f t="shared" si="8"/>
        <v>8306.7753433958296</v>
      </c>
      <c r="R24" s="331">
        <f t="shared" si="2"/>
        <v>-261.65425393011958</v>
      </c>
      <c r="S24" s="331">
        <f t="shared" si="3"/>
        <v>8045.1210894657097</v>
      </c>
      <c r="U24" s="331">
        <f t="shared" si="4"/>
        <v>0</v>
      </c>
      <c r="V24" s="331">
        <f t="shared" si="5"/>
        <v>0</v>
      </c>
      <c r="W24" s="331">
        <f t="shared" si="6"/>
        <v>8045.1210894657097</v>
      </c>
    </row>
    <row r="25" spans="1:23" x14ac:dyDescent="0.2">
      <c r="A25" s="216">
        <v>20</v>
      </c>
      <c r="B25" s="320" t="s">
        <v>178</v>
      </c>
      <c r="C25" s="321" t="s">
        <v>208</v>
      </c>
      <c r="D25" s="373" t="str">
        <f>'3413'!G$135</f>
        <v>H</v>
      </c>
      <c r="E25" s="373" t="str">
        <f>'3413'!H$133</f>
        <v/>
      </c>
      <c r="F25" s="329">
        <f t="shared" si="0"/>
        <v>1.2867455101307823E-2</v>
      </c>
      <c r="G25" s="394">
        <f t="shared" si="1"/>
        <v>1.3369340147775499E-2</v>
      </c>
      <c r="H25" s="322"/>
      <c r="I25" s="330">
        <f>'3413'!I$128</f>
        <v>3223273.7300000004</v>
      </c>
      <c r="J25" s="330">
        <f>I25-'3413'!I$53</f>
        <v>3102272.0300000003</v>
      </c>
      <c r="K25" s="330">
        <f>'3413'!I$135</f>
        <v>-41475.33</v>
      </c>
      <c r="L25" s="330">
        <f t="shared" si="7"/>
        <v>3181798.4000000004</v>
      </c>
      <c r="M25" s="330">
        <f>'3413'!I$145</f>
        <v>-2097.36</v>
      </c>
      <c r="N25" s="202"/>
      <c r="O25" s="330">
        <f>'3413'!E$30</f>
        <v>373.99000000000007</v>
      </c>
      <c r="Q25" s="331">
        <f t="shared" si="8"/>
        <v>8618.6094013208913</v>
      </c>
      <c r="R25" s="331">
        <f t="shared" si="2"/>
        <v>-110.89956950720607</v>
      </c>
      <c r="S25" s="331">
        <f t="shared" si="3"/>
        <v>8507.709831813685</v>
      </c>
      <c r="U25" s="331">
        <f t="shared" si="4"/>
        <v>8507.709831813685</v>
      </c>
      <c r="V25" s="331">
        <f t="shared" si="5"/>
        <v>0</v>
      </c>
      <c r="W25" s="331">
        <f t="shared" si="6"/>
        <v>0</v>
      </c>
    </row>
    <row r="26" spans="1:23" x14ac:dyDescent="0.2">
      <c r="A26" s="216">
        <v>21</v>
      </c>
      <c r="B26" s="320" t="s">
        <v>179</v>
      </c>
      <c r="C26" s="321" t="s">
        <v>209</v>
      </c>
      <c r="D26" s="373">
        <f>'3421'!G$135</f>
        <v>0</v>
      </c>
      <c r="E26" s="373" t="str">
        <f>'3421'!H$133</f>
        <v/>
      </c>
      <c r="F26" s="329">
        <f t="shared" si="0"/>
        <v>2.9795908162300433E-2</v>
      </c>
      <c r="G26" s="394">
        <f t="shared" si="1"/>
        <v>3.0768473139702508E-2</v>
      </c>
      <c r="H26" s="322"/>
      <c r="I26" s="330">
        <f>'3421'!I$128</f>
        <v>3273690.4500000007</v>
      </c>
      <c r="J26" s="330">
        <f>I26-'3421'!I$53</f>
        <v>3170211.9100000006</v>
      </c>
      <c r="K26" s="330">
        <f>'3421'!I$135</f>
        <v>-97542.58</v>
      </c>
      <c r="L26" s="330">
        <f t="shared" si="7"/>
        <v>3176147.8700000006</v>
      </c>
      <c r="M26" s="330">
        <f>'3421'!I$145</f>
        <v>-4915.24</v>
      </c>
      <c r="N26" s="202"/>
      <c r="O26" s="330">
        <f>'3421'!E$30</f>
        <v>406.26000000000005</v>
      </c>
      <c r="Q26" s="331">
        <f t="shared" si="8"/>
        <v>8058.1166002067648</v>
      </c>
      <c r="R26" s="331">
        <f t="shared" si="2"/>
        <v>-240.09890218086937</v>
      </c>
      <c r="S26" s="331">
        <f t="shared" si="3"/>
        <v>7818.0176980258957</v>
      </c>
      <c r="U26" s="331">
        <f t="shared" si="4"/>
        <v>0</v>
      </c>
      <c r="V26" s="331">
        <f t="shared" si="5"/>
        <v>0</v>
      </c>
      <c r="W26" s="331">
        <f t="shared" si="6"/>
        <v>7818.0176980258957</v>
      </c>
    </row>
    <row r="27" spans="1:23" x14ac:dyDescent="0.2">
      <c r="A27" s="216">
        <v>22</v>
      </c>
      <c r="B27" s="320" t="s">
        <v>180</v>
      </c>
      <c r="C27" s="321" t="s">
        <v>211</v>
      </c>
      <c r="D27" s="373" t="str">
        <f>'3431'!G$135</f>
        <v>H</v>
      </c>
      <c r="E27" s="373" t="str">
        <f>'3431'!H$133</f>
        <v/>
      </c>
      <c r="F27" s="329">
        <f t="shared" si="0"/>
        <v>4.8712913972168963E-3</v>
      </c>
      <c r="G27" s="394">
        <f t="shared" si="1"/>
        <v>5.0778951893323898E-3</v>
      </c>
      <c r="H27" s="322"/>
      <c r="I27" s="330">
        <f>'3431'!I$128</f>
        <v>8278272.9900000002</v>
      </c>
      <c r="J27" s="330">
        <f>I27-'3431'!I$53</f>
        <v>7941455.7599999998</v>
      </c>
      <c r="K27" s="330">
        <f>'3431'!I$135</f>
        <v>-40325.879999999997</v>
      </c>
      <c r="L27" s="330">
        <f t="shared" si="7"/>
        <v>8237947.1100000003</v>
      </c>
      <c r="M27" s="330">
        <f>'3431'!I$145</f>
        <v>-4342.24</v>
      </c>
      <c r="N27" s="202"/>
      <c r="O27" s="330">
        <f>'3431'!E$30</f>
        <v>984.66000000000008</v>
      </c>
      <c r="Q27" s="331">
        <f t="shared" si="8"/>
        <v>8407.2400524038749</v>
      </c>
      <c r="R27" s="331">
        <f t="shared" si="2"/>
        <v>-40.954116141612324</v>
      </c>
      <c r="S27" s="331">
        <f t="shared" si="3"/>
        <v>8366.2859362622621</v>
      </c>
      <c r="U27" s="331">
        <f t="shared" si="4"/>
        <v>8366.2859362622621</v>
      </c>
      <c r="V27" s="331">
        <f t="shared" si="5"/>
        <v>0</v>
      </c>
      <c r="W27" s="331">
        <f t="shared" si="6"/>
        <v>0</v>
      </c>
    </row>
    <row r="28" spans="1:23" x14ac:dyDescent="0.2">
      <c r="A28" s="216">
        <v>23</v>
      </c>
      <c r="B28" s="320">
        <v>3441</v>
      </c>
      <c r="C28" s="323" t="s">
        <v>229</v>
      </c>
      <c r="D28" s="374">
        <f>'3441'!G$135</f>
        <v>0</v>
      </c>
      <c r="E28" s="374" t="str">
        <f>'3441'!H$133</f>
        <v/>
      </c>
      <c r="F28" s="329">
        <f t="shared" si="0"/>
        <v>2.2906423690261031E-2</v>
      </c>
      <c r="G28" s="394">
        <f t="shared" si="1"/>
        <v>2.3845405444370887E-2</v>
      </c>
      <c r="H28" s="322"/>
      <c r="I28" s="330">
        <f>'3441'!I$128</f>
        <v>4326507.33</v>
      </c>
      <c r="J28" s="330">
        <f>I28-'3441'!I$53</f>
        <v>4156138.6</v>
      </c>
      <c r="K28" s="330">
        <f>'3441'!I$135</f>
        <v>-99104.81</v>
      </c>
      <c r="L28" s="330">
        <f t="shared" si="7"/>
        <v>4227402.5200000005</v>
      </c>
      <c r="M28" s="330">
        <f>'3441'!I$145</f>
        <v>-6548.47</v>
      </c>
      <c r="N28" s="202"/>
      <c r="O28" s="330">
        <f>'3441'!E$30</f>
        <v>524.20999999999992</v>
      </c>
      <c r="Q28" s="331">
        <f t="shared" si="8"/>
        <v>8253.3857232788396</v>
      </c>
      <c r="R28" s="331">
        <f t="shared" si="2"/>
        <v>-189.05555025657659</v>
      </c>
      <c r="S28" s="331">
        <f t="shared" si="3"/>
        <v>8064.3301730222638</v>
      </c>
      <c r="U28" s="331">
        <f t="shared" si="4"/>
        <v>0</v>
      </c>
      <c r="V28" s="331">
        <f t="shared" si="5"/>
        <v>0</v>
      </c>
      <c r="W28" s="331">
        <f t="shared" si="6"/>
        <v>8064.3301730222638</v>
      </c>
    </row>
    <row r="29" spans="1:23" x14ac:dyDescent="0.2">
      <c r="A29" s="216">
        <v>24</v>
      </c>
      <c r="B29" s="320">
        <v>3924</v>
      </c>
      <c r="C29" s="323" t="s">
        <v>378</v>
      </c>
      <c r="D29" s="373">
        <f>'3924'!G$135</f>
        <v>0</v>
      </c>
      <c r="E29" s="373" t="str">
        <f>'3924'!H$133</f>
        <v/>
      </c>
      <c r="F29" s="329">
        <f t="shared" si="0"/>
        <v>2.579815800348716E-2</v>
      </c>
      <c r="G29" s="394">
        <f t="shared" si="1"/>
        <v>2.6940817462675598E-2</v>
      </c>
      <c r="H29" s="322"/>
      <c r="I29" s="330">
        <f>'3924'!I$128</f>
        <v>3866824.9099999997</v>
      </c>
      <c r="J29" s="330">
        <f>I29-'3924'!I$53</f>
        <v>3702818.5999999996</v>
      </c>
      <c r="K29" s="330">
        <f>'3924'!I$135</f>
        <v>-99756.96</v>
      </c>
      <c r="L29" s="330">
        <f t="shared" si="7"/>
        <v>3767067.9499999997</v>
      </c>
      <c r="M29" s="330">
        <f>'3924'!I$145</f>
        <v>-2040.17</v>
      </c>
      <c r="N29" s="202"/>
      <c r="O29" s="330">
        <f>'3924'!E$30</f>
        <v>463.97999999999996</v>
      </c>
      <c r="Q29" s="331">
        <f t="shared" si="8"/>
        <v>8334.0336005862318</v>
      </c>
      <c r="R29" s="331">
        <f t="shared" si="2"/>
        <v>-215.00271563429462</v>
      </c>
      <c r="S29" s="331">
        <f t="shared" si="3"/>
        <v>8119.0308849519379</v>
      </c>
      <c r="U29" s="331">
        <f t="shared" si="4"/>
        <v>0</v>
      </c>
      <c r="V29" s="331">
        <f t="shared" si="5"/>
        <v>0</v>
      </c>
      <c r="W29" s="331">
        <f t="shared" si="6"/>
        <v>8119.0308849519379</v>
      </c>
    </row>
    <row r="30" spans="1:23" x14ac:dyDescent="0.2">
      <c r="A30" s="216">
        <v>25</v>
      </c>
      <c r="B30" s="320" t="s">
        <v>181</v>
      </c>
      <c r="C30" s="321" t="s">
        <v>192</v>
      </c>
      <c r="D30" s="373" t="str">
        <f>'3941'!G$135</f>
        <v>H</v>
      </c>
      <c r="E30" s="373" t="str">
        <f>'3941'!H$133</f>
        <v/>
      </c>
      <c r="F30" s="329">
        <f t="shared" si="0"/>
        <v>1.9179924506609845E-2</v>
      </c>
      <c r="G30" s="394">
        <f t="shared" si="1"/>
        <v>1.9946542488124362E-2</v>
      </c>
      <c r="H30" s="322"/>
      <c r="I30" s="330">
        <f>'3941'!I$128</f>
        <v>2199154.1199999996</v>
      </c>
      <c r="J30" s="330">
        <f>I30-'3941'!I$53</f>
        <v>2114632.6499999994</v>
      </c>
      <c r="K30" s="330">
        <f>'3941'!I$135</f>
        <v>-42179.61</v>
      </c>
      <c r="L30" s="330">
        <f>I30+K30</f>
        <v>2156974.5099999998</v>
      </c>
      <c r="M30" s="330">
        <f>'3941'!I$145</f>
        <v>308.52999999999997</v>
      </c>
      <c r="N30" s="202"/>
      <c r="O30" s="330">
        <f>'3941'!E$30</f>
        <v>250.67</v>
      </c>
      <c r="Q30" s="331">
        <f t="shared" si="8"/>
        <v>8773.1045597797893</v>
      </c>
      <c r="R30" s="331">
        <f t="shared" si="2"/>
        <v>-168.26748314517096</v>
      </c>
      <c r="S30" s="331">
        <f t="shared" si="3"/>
        <v>8604.8370766346179</v>
      </c>
      <c r="U30" s="331">
        <f t="shared" si="4"/>
        <v>8604.8370766346179</v>
      </c>
      <c r="V30" s="331">
        <f t="shared" si="5"/>
        <v>0</v>
      </c>
      <c r="W30" s="331">
        <f t="shared" si="6"/>
        <v>0</v>
      </c>
    </row>
    <row r="31" spans="1:23" x14ac:dyDescent="0.2">
      <c r="A31" s="216">
        <v>26</v>
      </c>
      <c r="B31" s="320" t="s">
        <v>182</v>
      </c>
      <c r="C31" s="321" t="s">
        <v>202</v>
      </c>
      <c r="D31" s="373" t="str">
        <f>'3961'!G$135</f>
        <v>H</v>
      </c>
      <c r="E31" s="373" t="str">
        <f>'3961'!H$133</f>
        <v/>
      </c>
      <c r="F31" s="329">
        <f t="shared" si="0"/>
        <v>1.4666355405756412E-2</v>
      </c>
      <c r="G31" s="394">
        <f t="shared" si="1"/>
        <v>1.5322383952144485E-2</v>
      </c>
      <c r="H31" s="322"/>
      <c r="I31" s="330">
        <f>'3961'!I$128</f>
        <v>2703412.6</v>
      </c>
      <c r="J31" s="330">
        <f>I31-'3961'!I$53</f>
        <v>2587665.87</v>
      </c>
      <c r="K31" s="330">
        <f>'3961'!I$135</f>
        <v>-39649.21</v>
      </c>
      <c r="L31" s="330">
        <f t="shared" si="7"/>
        <v>2663763.39</v>
      </c>
      <c r="M31" s="330">
        <f>'3961'!I$145</f>
        <v>300.19</v>
      </c>
      <c r="N31" s="202"/>
      <c r="O31" s="330">
        <f>'3961'!E$30</f>
        <v>326.32</v>
      </c>
      <c r="Q31" s="331">
        <f t="shared" si="8"/>
        <v>8284.5446187791131</v>
      </c>
      <c r="R31" s="331">
        <f t="shared" si="2"/>
        <v>-121.50407575386124</v>
      </c>
      <c r="S31" s="331">
        <f t="shared" si="3"/>
        <v>8163.0405430252522</v>
      </c>
      <c r="U31" s="331">
        <f t="shared" si="4"/>
        <v>8163.0405430252522</v>
      </c>
      <c r="V31" s="331">
        <f t="shared" si="5"/>
        <v>0</v>
      </c>
      <c r="W31" s="331">
        <f t="shared" si="6"/>
        <v>0</v>
      </c>
    </row>
    <row r="32" spans="1:23" x14ac:dyDescent="0.2">
      <c r="A32" s="216">
        <v>27</v>
      </c>
      <c r="B32" s="320" t="s">
        <v>183</v>
      </c>
      <c r="C32" s="321" t="s">
        <v>341</v>
      </c>
      <c r="D32" s="373">
        <f>'3971'!G$135</f>
        <v>0</v>
      </c>
      <c r="E32" s="373" t="str">
        <f>'3971'!H$133</f>
        <v/>
      </c>
      <c r="F32" s="329">
        <f t="shared" si="0"/>
        <v>1.8135151440083899E-2</v>
      </c>
      <c r="G32" s="394">
        <f t="shared" si="1"/>
        <v>1.876933284930845E-2</v>
      </c>
      <c r="H32" s="322"/>
      <c r="I32" s="330">
        <f>'3971'!I$128</f>
        <v>5500253.4900000002</v>
      </c>
      <c r="J32" s="330">
        <f>I32-'3971'!I$53</f>
        <v>5314409.99</v>
      </c>
      <c r="K32" s="330">
        <f>'3971'!I$135</f>
        <v>-99747.93</v>
      </c>
      <c r="L32" s="330">
        <f t="shared" si="7"/>
        <v>5400505.5600000005</v>
      </c>
      <c r="M32" s="330">
        <f>'3971'!I$145</f>
        <v>-8502.7199999999993</v>
      </c>
      <c r="N32" s="202"/>
      <c r="O32" s="330">
        <f>'3971'!E$30</f>
        <v>665.9799999999999</v>
      </c>
      <c r="Q32" s="331">
        <f t="shared" si="8"/>
        <v>8258.8868884951517</v>
      </c>
      <c r="R32" s="331">
        <f t="shared" si="2"/>
        <v>-149.77616444938286</v>
      </c>
      <c r="S32" s="331">
        <f t="shared" si="3"/>
        <v>8109.1107240457695</v>
      </c>
      <c r="U32" s="331">
        <f t="shared" si="4"/>
        <v>0</v>
      </c>
      <c r="V32" s="331">
        <f t="shared" si="5"/>
        <v>0</v>
      </c>
      <c r="W32" s="331">
        <f t="shared" si="6"/>
        <v>8109.1107240457695</v>
      </c>
    </row>
    <row r="33" spans="1:23" x14ac:dyDescent="0.2">
      <c r="A33" s="216">
        <v>28</v>
      </c>
      <c r="B33" s="320" t="s">
        <v>184</v>
      </c>
      <c r="C33" s="321" t="s">
        <v>220</v>
      </c>
      <c r="D33" s="373">
        <f>'4001'!G$135</f>
        <v>0</v>
      </c>
      <c r="E33" s="373" t="str">
        <f>'4001'!H$133</f>
        <v/>
      </c>
      <c r="F33" s="329">
        <f t="shared" si="0"/>
        <v>1.6874034142412186E-2</v>
      </c>
      <c r="G33" s="394">
        <f t="shared" si="1"/>
        <v>1.7582850739775856E-2</v>
      </c>
      <c r="H33" s="322"/>
      <c r="I33" s="330">
        <f>'4001'!I$128</f>
        <v>5990912.9700000007</v>
      </c>
      <c r="J33" s="330">
        <f>I33-'4001'!I$53</f>
        <v>5749401.5900000008</v>
      </c>
      <c r="K33" s="330">
        <f>'4001'!I$135</f>
        <v>-101090.87</v>
      </c>
      <c r="L33" s="330">
        <f t="shared" si="7"/>
        <v>5889822.1000000006</v>
      </c>
      <c r="M33" s="330">
        <f>'4001'!I$145</f>
        <v>6193.04</v>
      </c>
      <c r="N33" s="202"/>
      <c r="O33" s="330">
        <f>'4001'!E$30</f>
        <v>710.92000000000007</v>
      </c>
      <c r="Q33" s="331">
        <f t="shared" si="8"/>
        <v>8426.9861165813309</v>
      </c>
      <c r="R33" s="331">
        <f t="shared" si="2"/>
        <v>-142.19725144882685</v>
      </c>
      <c r="S33" s="331">
        <f t="shared" si="3"/>
        <v>8284.7888651325047</v>
      </c>
      <c r="U33" s="331">
        <f t="shared" si="4"/>
        <v>0</v>
      </c>
      <c r="V33" s="331">
        <f t="shared" si="5"/>
        <v>0</v>
      </c>
      <c r="W33" s="331">
        <f t="shared" si="6"/>
        <v>8284.7888651325047</v>
      </c>
    </row>
    <row r="34" spans="1:23" x14ac:dyDescent="0.2">
      <c r="A34" s="216">
        <v>29</v>
      </c>
      <c r="B34" s="320">
        <v>4002</v>
      </c>
      <c r="C34" s="321" t="s">
        <v>219</v>
      </c>
      <c r="D34" s="373">
        <f>'4002'!G$135</f>
        <v>0</v>
      </c>
      <c r="E34" s="373" t="str">
        <f>'4002'!H$133</f>
        <v/>
      </c>
      <c r="F34" s="329">
        <f t="shared" si="0"/>
        <v>1.1080904584944751E-2</v>
      </c>
      <c r="G34" s="394">
        <f t="shared" si="1"/>
        <v>1.1574502465668138E-2</v>
      </c>
      <c r="H34" s="322"/>
      <c r="I34" s="330">
        <f>'4002'!I$128</f>
        <v>9237580.6699999999</v>
      </c>
      <c r="J34" s="330">
        <f>I34-'4002'!I$53</f>
        <v>8843641.4700000007</v>
      </c>
      <c r="K34" s="330">
        <f>'4002'!I$135</f>
        <v>-102360.75</v>
      </c>
      <c r="L34" s="330">
        <f t="shared" si="7"/>
        <v>9135219.9199999999</v>
      </c>
      <c r="M34" s="330">
        <f>'4002'!I$145</f>
        <v>-3192.83</v>
      </c>
      <c r="N34" s="202"/>
      <c r="O34" s="330">
        <f>'4002'!E$30</f>
        <v>1079.96</v>
      </c>
      <c r="Q34" s="331">
        <f t="shared" si="8"/>
        <v>8553.6322363791242</v>
      </c>
      <c r="R34" s="331">
        <f t="shared" si="2"/>
        <v>-94.78198266602466</v>
      </c>
      <c r="S34" s="331">
        <f t="shared" si="3"/>
        <v>8458.8502537131008</v>
      </c>
      <c r="U34" s="331">
        <f t="shared" si="4"/>
        <v>0</v>
      </c>
      <c r="V34" s="331">
        <f t="shared" si="5"/>
        <v>0</v>
      </c>
      <c r="W34" s="331">
        <f t="shared" si="6"/>
        <v>8458.8502537131008</v>
      </c>
    </row>
    <row r="35" spans="1:23" x14ac:dyDescent="0.2">
      <c r="A35" s="216">
        <v>30</v>
      </c>
      <c r="B35" s="320">
        <v>4012</v>
      </c>
      <c r="C35" s="321" t="s">
        <v>222</v>
      </c>
      <c r="D35" s="373" t="str">
        <f>'4012'!G$135</f>
        <v>H</v>
      </c>
      <c r="E35" s="373" t="str">
        <f>'4012'!H$133</f>
        <v/>
      </c>
      <c r="F35" s="329">
        <f t="shared" si="0"/>
        <v>7.3243820970646401E-3</v>
      </c>
      <c r="G35" s="394">
        <f t="shared" si="1"/>
        <v>7.6453767883761228E-3</v>
      </c>
      <c r="H35" s="322"/>
      <c r="I35" s="330">
        <f>'4012'!I$128</f>
        <v>5211505.83</v>
      </c>
      <c r="J35" s="330">
        <f>I35-'4012'!I$53</f>
        <v>4992698.34</v>
      </c>
      <c r="K35" s="330">
        <f>'4012'!I$135</f>
        <v>-38171.06</v>
      </c>
      <c r="L35" s="330">
        <f t="shared" si="7"/>
        <v>5173334.7700000005</v>
      </c>
      <c r="M35" s="330">
        <f>'4012'!I$145</f>
        <v>-1272.96</v>
      </c>
      <c r="N35" s="202"/>
      <c r="O35" s="330">
        <f>'4012'!E$30</f>
        <v>653.99</v>
      </c>
      <c r="Q35" s="331">
        <f t="shared" si="8"/>
        <v>7968.7851954922862</v>
      </c>
      <c r="R35" s="331">
        <f t="shared" si="2"/>
        <v>-58.366427621217447</v>
      </c>
      <c r="S35" s="331">
        <f t="shared" si="3"/>
        <v>7910.4187678710687</v>
      </c>
      <c r="U35" s="331">
        <f t="shared" si="4"/>
        <v>7910.4187678710687</v>
      </c>
      <c r="V35" s="331">
        <f t="shared" si="5"/>
        <v>0</v>
      </c>
      <c r="W35" s="331">
        <f t="shared" si="6"/>
        <v>0</v>
      </c>
    </row>
    <row r="36" spans="1:23" x14ac:dyDescent="0.2">
      <c r="A36" s="216">
        <v>31</v>
      </c>
      <c r="B36" s="320">
        <v>4013</v>
      </c>
      <c r="C36" s="321" t="s">
        <v>224</v>
      </c>
      <c r="D36" s="373" t="str">
        <f>'4013'!G$135</f>
        <v>H</v>
      </c>
      <c r="E36" s="373" t="str">
        <f>'4013'!H$133</f>
        <v/>
      </c>
      <c r="F36" s="329">
        <f t="shared" si="0"/>
        <v>4.7897516952793047E-3</v>
      </c>
      <c r="G36" s="394">
        <f t="shared" si="1"/>
        <v>5.0072097211740999E-3</v>
      </c>
      <c r="H36" s="322"/>
      <c r="I36" s="330">
        <f>'4013'!I$128</f>
        <v>7749727.4100000001</v>
      </c>
      <c r="J36" s="330">
        <f>I36-'4013'!I$53</f>
        <v>7413164.6299999999</v>
      </c>
      <c r="K36" s="330">
        <f>'4013'!I$135</f>
        <v>-37119.269999999997</v>
      </c>
      <c r="L36" s="330">
        <f t="shared" si="7"/>
        <v>7712608.1400000006</v>
      </c>
      <c r="M36" s="330">
        <f>'4013'!I$145</f>
        <v>-8629.94</v>
      </c>
      <c r="N36" s="202"/>
      <c r="O36" s="330">
        <f>'4013'!E$30</f>
        <v>998.56000000000006</v>
      </c>
      <c r="Q36" s="331">
        <f t="shared" si="8"/>
        <v>7760.9031104790893</v>
      </c>
      <c r="R36" s="331">
        <f t="shared" si="2"/>
        <v>-37.172798830315649</v>
      </c>
      <c r="S36" s="331">
        <f t="shared" si="3"/>
        <v>7723.7303116487747</v>
      </c>
      <c r="U36" s="331">
        <f t="shared" si="4"/>
        <v>7723.7303116487747</v>
      </c>
      <c r="V36" s="331">
        <f t="shared" si="5"/>
        <v>0</v>
      </c>
      <c r="W36" s="331">
        <f t="shared" si="6"/>
        <v>0</v>
      </c>
    </row>
    <row r="37" spans="1:23" x14ac:dyDescent="0.2">
      <c r="A37" s="216">
        <v>32</v>
      </c>
      <c r="B37" s="320">
        <v>4020</v>
      </c>
      <c r="C37" s="323" t="s">
        <v>347</v>
      </c>
      <c r="D37" s="373">
        <f>'4020'!G$135</f>
        <v>0</v>
      </c>
      <c r="E37" s="373" t="str">
        <f>'4020'!H$133</f>
        <v/>
      </c>
      <c r="F37" s="329">
        <f t="shared" si="0"/>
        <v>1.0038026753779374E-2</v>
      </c>
      <c r="G37" s="394">
        <f t="shared" si="1"/>
        <v>1.0496791776781582E-2</v>
      </c>
      <c r="H37" s="322"/>
      <c r="I37" s="330">
        <f>'4020'!I$128</f>
        <v>10046668.780000001</v>
      </c>
      <c r="J37" s="330">
        <f>I37-'4020'!I$53</f>
        <v>9607576.5000000019</v>
      </c>
      <c r="K37" s="330">
        <f>'4020'!I$135</f>
        <v>-100848.73</v>
      </c>
      <c r="L37" s="330">
        <f t="shared" si="7"/>
        <v>9945820.0500000007</v>
      </c>
      <c r="M37" s="330">
        <f>'4020'!I$145</f>
        <v>-5764.24</v>
      </c>
      <c r="N37" s="202"/>
      <c r="O37" s="330">
        <f>'4020'!E$30</f>
        <v>1190.8399999999999</v>
      </c>
      <c r="Q37" s="331">
        <f t="shared" si="8"/>
        <v>8436.6235430452471</v>
      </c>
      <c r="R37" s="331">
        <f t="shared" si="2"/>
        <v>-84.687052836653123</v>
      </c>
      <c r="S37" s="331">
        <f t="shared" si="3"/>
        <v>8351.9364902085927</v>
      </c>
      <c r="U37" s="331">
        <f t="shared" si="4"/>
        <v>0</v>
      </c>
      <c r="V37" s="331">
        <f t="shared" si="5"/>
        <v>0</v>
      </c>
      <c r="W37" s="331">
        <f t="shared" si="6"/>
        <v>8351.9364902085927</v>
      </c>
    </row>
    <row r="38" spans="1:23" x14ac:dyDescent="0.2">
      <c r="A38" s="216">
        <v>33</v>
      </c>
      <c r="B38" s="320">
        <v>4030</v>
      </c>
      <c r="C38" s="323" t="s">
        <v>335</v>
      </c>
      <c r="D38" s="373">
        <f>'4030'!G$135</f>
        <v>0</v>
      </c>
      <c r="E38" s="373" t="str">
        <f>'4030'!H$133</f>
        <v/>
      </c>
      <c r="F38" s="329">
        <f t="shared" si="0"/>
        <v>3.7350602940554922E-2</v>
      </c>
      <c r="G38" s="394">
        <f t="shared" si="1"/>
        <v>3.9056399149161682E-2</v>
      </c>
      <c r="H38" s="322"/>
      <c r="I38" s="330">
        <f>'4030'!I$128</f>
        <v>2835220.6300000004</v>
      </c>
      <c r="J38" s="330">
        <f>I38-'4030'!I$53</f>
        <v>2711391.7900000005</v>
      </c>
      <c r="K38" s="330">
        <f>'4030'!I$135</f>
        <v>-105897.2</v>
      </c>
      <c r="L38" s="330">
        <f t="shared" si="7"/>
        <v>2729323.43</v>
      </c>
      <c r="M38" s="330">
        <f>'4030'!I$145</f>
        <v>42823.69</v>
      </c>
      <c r="N38" s="202"/>
      <c r="O38" s="330">
        <f>'4030'!E$30</f>
        <v>320.05</v>
      </c>
      <c r="Q38" s="331">
        <f t="shared" si="8"/>
        <v>8858.6802999531337</v>
      </c>
      <c r="R38" s="331">
        <f>K38/O38</f>
        <v>-330.87705046086546</v>
      </c>
      <c r="S38" s="331">
        <f>L38/O38</f>
        <v>8527.8032494922663</v>
      </c>
      <c r="U38" s="331">
        <f t="shared" si="4"/>
        <v>0</v>
      </c>
      <c r="V38" s="331">
        <f t="shared" si="5"/>
        <v>0</v>
      </c>
      <c r="W38" s="331">
        <f>IF(AND(U38=0,V38=0),S38,)</f>
        <v>8527.8032494922663</v>
      </c>
    </row>
    <row r="39" spans="1:23" x14ac:dyDescent="0.2">
      <c r="A39" s="216">
        <v>34</v>
      </c>
      <c r="B39" s="320">
        <v>4031</v>
      </c>
      <c r="C39" s="323" t="s">
        <v>352</v>
      </c>
      <c r="D39" s="373">
        <f>'4031'!G$135</f>
        <v>0</v>
      </c>
      <c r="E39" s="373" t="str">
        <f>'4031'!H$133</f>
        <v/>
      </c>
      <c r="F39" s="329">
        <f t="shared" si="0"/>
        <v>2.263839189509332E-2</v>
      </c>
      <c r="G39" s="394">
        <f t="shared" si="1"/>
        <v>2.3468007561657393E-2</v>
      </c>
      <c r="H39" s="322"/>
      <c r="I39" s="330">
        <f>'4031'!I$128</f>
        <v>4514543.2799999993</v>
      </c>
      <c r="J39" s="330">
        <f>I39-'4031'!I$53</f>
        <v>4354950.0199999996</v>
      </c>
      <c r="K39" s="330">
        <f>'4031'!I$135</f>
        <v>-102202</v>
      </c>
      <c r="L39" s="330">
        <f t="shared" si="7"/>
        <v>4412341.2799999993</v>
      </c>
      <c r="M39" s="330">
        <f>'4031'!I$145</f>
        <v>2133.02</v>
      </c>
      <c r="N39" s="202"/>
      <c r="O39" s="330">
        <f>'4031'!E$30</f>
        <v>532.64</v>
      </c>
      <c r="Q39" s="331">
        <f t="shared" si="8"/>
        <v>8475.7871733253214</v>
      </c>
      <c r="R39" s="331">
        <f>K39/O39</f>
        <v>-191.8781916491439</v>
      </c>
      <c r="S39" s="331">
        <f>L39/O39</f>
        <v>8283.9089816761789</v>
      </c>
      <c r="U39" s="331">
        <f t="shared" si="4"/>
        <v>0</v>
      </c>
      <c r="V39" s="331">
        <f t="shared" si="5"/>
        <v>0</v>
      </c>
      <c r="W39" s="331">
        <f>IF(AND(U39=0,V39=0),S39,)</f>
        <v>8283.9089816761789</v>
      </c>
    </row>
    <row r="40" spans="1:23" x14ac:dyDescent="0.2">
      <c r="A40" s="216">
        <v>35</v>
      </c>
      <c r="B40" s="312">
        <v>4041</v>
      </c>
      <c r="C40" s="313" t="s">
        <v>226</v>
      </c>
      <c r="D40" s="375" t="str">
        <f>'4041'!G$135</f>
        <v>H</v>
      </c>
      <c r="E40" s="375" t="str">
        <f>'4041'!H$133</f>
        <v/>
      </c>
      <c r="F40" s="329">
        <f t="shared" si="0"/>
        <v>1.9286802248361195E-2</v>
      </c>
      <c r="G40" s="394">
        <f t="shared" si="1"/>
        <v>1.9999997422767465E-2</v>
      </c>
      <c r="H40" s="322"/>
      <c r="I40" s="330">
        <f>'4041'!I$128</f>
        <v>724250.17999999993</v>
      </c>
      <c r="J40" s="330">
        <f>I40-'4041'!I$53</f>
        <v>698423.59</v>
      </c>
      <c r="K40" s="330">
        <f>'4041'!I$135</f>
        <v>-13968.47</v>
      </c>
      <c r="L40" s="330">
        <f t="shared" si="7"/>
        <v>710281.71</v>
      </c>
      <c r="M40" s="330">
        <f>'4041'!I$145</f>
        <v>-3278.21</v>
      </c>
      <c r="N40" s="202"/>
      <c r="O40" s="330">
        <f>'4041'!E$30</f>
        <v>90.38000000000001</v>
      </c>
      <c r="Q40" s="331">
        <f t="shared" si="8"/>
        <v>8013.3899092719612</v>
      </c>
      <c r="R40" s="331">
        <f t="shared" si="2"/>
        <v>-154.55266651914138</v>
      </c>
      <c r="S40" s="331">
        <f t="shared" si="3"/>
        <v>7858.8372427528202</v>
      </c>
      <c r="U40" s="331">
        <f t="shared" si="4"/>
        <v>7858.8372427528202</v>
      </c>
      <c r="V40" s="331">
        <f t="shared" si="5"/>
        <v>0</v>
      </c>
      <c r="W40" s="331">
        <f t="shared" si="6"/>
        <v>0</v>
      </c>
    </row>
    <row r="41" spans="1:23" x14ac:dyDescent="0.2">
      <c r="A41" s="216">
        <v>36</v>
      </c>
      <c r="B41" s="263">
        <v>4050</v>
      </c>
      <c r="C41" s="264" t="s">
        <v>217</v>
      </c>
      <c r="D41" s="376">
        <f>'4050'!G$135</f>
        <v>0</v>
      </c>
      <c r="E41" s="376" t="str">
        <f>'4050'!H$133</f>
        <v/>
      </c>
      <c r="F41" s="329">
        <f t="shared" si="0"/>
        <v>1.537239003141239E-2</v>
      </c>
      <c r="G41" s="394">
        <f t="shared" si="1"/>
        <v>1.6044977129632595E-2</v>
      </c>
      <c r="H41" s="322"/>
      <c r="I41" s="330">
        <f>'4050'!I$128</f>
        <v>6510316.8599999994</v>
      </c>
      <c r="J41" s="330">
        <f>I41-'4050'!I$53</f>
        <v>6237411.8199999994</v>
      </c>
      <c r="K41" s="330">
        <f>'4050'!I$135</f>
        <v>-100079.13</v>
      </c>
      <c r="L41" s="330">
        <f t="shared" si="7"/>
        <v>6410237.7299999995</v>
      </c>
      <c r="M41" s="330">
        <f>'4050'!I$145</f>
        <v>-17968.560000000001</v>
      </c>
      <c r="N41" s="202"/>
      <c r="O41" s="330">
        <f>'4050'!E$30</f>
        <v>779.06</v>
      </c>
      <c r="Q41" s="331">
        <f t="shared" si="8"/>
        <v>8356.630888506661</v>
      </c>
      <c r="R41" s="331">
        <f t="shared" si="2"/>
        <v>-128.46138936667268</v>
      </c>
      <c r="S41" s="331">
        <f t="shared" si="3"/>
        <v>8228.1694991399891</v>
      </c>
      <c r="U41" s="331">
        <f t="shared" si="4"/>
        <v>0</v>
      </c>
      <c r="V41" s="331">
        <f t="shared" si="5"/>
        <v>0</v>
      </c>
      <c r="W41" s="331">
        <f t="shared" si="6"/>
        <v>8228.1694991399891</v>
      </c>
    </row>
    <row r="42" spans="1:23" x14ac:dyDescent="0.2">
      <c r="A42" s="216">
        <v>37</v>
      </c>
      <c r="B42" s="263">
        <v>4051</v>
      </c>
      <c r="C42" s="264" t="s">
        <v>215</v>
      </c>
      <c r="D42" s="376">
        <f>'4051'!G$135</f>
        <v>0</v>
      </c>
      <c r="E42" s="376" t="str">
        <f>'4051'!H$133</f>
        <v/>
      </c>
      <c r="F42" s="329">
        <f t="shared" si="0"/>
        <v>1.4137636210976481E-2</v>
      </c>
      <c r="G42" s="394">
        <f t="shared" si="1"/>
        <v>1.4721469313821378E-2</v>
      </c>
      <c r="H42" s="322"/>
      <c r="I42" s="330">
        <f>'4051'!I$128</f>
        <v>7172426.7400000002</v>
      </c>
      <c r="J42" s="330">
        <f>I42-'4051'!I$53</f>
        <v>6887978.2200000007</v>
      </c>
      <c r="K42" s="330">
        <f>'4051'!I$135</f>
        <v>-101401.16</v>
      </c>
      <c r="L42" s="330">
        <f t="shared" si="7"/>
        <v>7071025.5800000001</v>
      </c>
      <c r="M42" s="330">
        <f>'4051'!I$145</f>
        <v>11751.46</v>
      </c>
      <c r="N42" s="202"/>
      <c r="O42" s="330">
        <f>'4051'!E$30</f>
        <v>849.1</v>
      </c>
      <c r="Q42" s="331">
        <f t="shared" si="8"/>
        <v>8447.0930867977859</v>
      </c>
      <c r="R42" s="331">
        <f t="shared" si="2"/>
        <v>-119.42192910140149</v>
      </c>
      <c r="S42" s="331">
        <f t="shared" si="3"/>
        <v>8327.6711576963844</v>
      </c>
      <c r="U42" s="331">
        <f t="shared" si="4"/>
        <v>0</v>
      </c>
      <c r="V42" s="331">
        <f t="shared" si="5"/>
        <v>0</v>
      </c>
      <c r="W42" s="331">
        <f t="shared" si="6"/>
        <v>8327.6711576963844</v>
      </c>
    </row>
    <row r="43" spans="1:23" x14ac:dyDescent="0.2">
      <c r="A43" s="216">
        <v>38</v>
      </c>
      <c r="B43" s="263">
        <v>4061</v>
      </c>
      <c r="C43" s="265" t="s">
        <v>349</v>
      </c>
      <c r="D43" s="376" t="str">
        <f>'4061'!G$135</f>
        <v>H</v>
      </c>
      <c r="E43" s="376" t="str">
        <f>'4061'!H$133</f>
        <v/>
      </c>
      <c r="F43" s="329">
        <f t="shared" si="0"/>
        <v>5.0083973440309057E-3</v>
      </c>
      <c r="G43" s="394">
        <f t="shared" si="1"/>
        <v>5.2324245668814336E-3</v>
      </c>
      <c r="H43" s="322"/>
      <c r="I43" s="330">
        <f>'4061'!I$128</f>
        <v>8072224.9499999993</v>
      </c>
      <c r="J43" s="330">
        <f>I43-'4061'!I$53</f>
        <v>7726611.1499999994</v>
      </c>
      <c r="K43" s="330">
        <f>'4061'!I$135</f>
        <v>-40428.910000000003</v>
      </c>
      <c r="L43" s="330">
        <f t="shared" si="7"/>
        <v>8031796.0399999991</v>
      </c>
      <c r="M43" s="330">
        <f>'4061'!I$145</f>
        <v>-4518.13</v>
      </c>
      <c r="N43" s="202"/>
      <c r="O43" s="330">
        <f>'4061'!E$30</f>
        <v>955.58</v>
      </c>
      <c r="Q43" s="331">
        <f t="shared" si="8"/>
        <v>8447.4611754117905</v>
      </c>
      <c r="R43" s="331">
        <f t="shared" si="2"/>
        <v>-42.308242114736601</v>
      </c>
      <c r="S43" s="331">
        <f t="shared" si="3"/>
        <v>8405.1529332970531</v>
      </c>
      <c r="U43" s="331">
        <f t="shared" si="4"/>
        <v>8405.1529332970531</v>
      </c>
      <c r="V43" s="331">
        <f t="shared" si="5"/>
        <v>0</v>
      </c>
      <c r="W43" s="331">
        <f t="shared" si="6"/>
        <v>0</v>
      </c>
    </row>
    <row r="44" spans="1:23" x14ac:dyDescent="0.2">
      <c r="A44" s="216">
        <v>39</v>
      </c>
      <c r="B44" s="263">
        <v>4080</v>
      </c>
      <c r="C44" s="265" t="s">
        <v>238</v>
      </c>
      <c r="D44" s="375">
        <f>'4080'!G$135</f>
        <v>0</v>
      </c>
      <c r="E44" s="375" t="str">
        <f>'4080'!H$133</f>
        <v/>
      </c>
      <c r="F44" s="329">
        <f t="shared" si="0"/>
        <v>4.3132818933130181E-2</v>
      </c>
      <c r="G44" s="394">
        <f t="shared" si="1"/>
        <v>4.4947859048916017E-2</v>
      </c>
      <c r="H44" s="322"/>
      <c r="I44" s="330">
        <f>'4080'!I$128</f>
        <v>2345682.0700000003</v>
      </c>
      <c r="J44" s="330">
        <f>I44-'4080'!I$53</f>
        <v>2250961.0500000003</v>
      </c>
      <c r="K44" s="330">
        <f>'4080'!I$135</f>
        <v>-101175.88</v>
      </c>
      <c r="L44" s="330">
        <f t="shared" si="7"/>
        <v>2244506.1900000004</v>
      </c>
      <c r="M44" s="330">
        <f>'4080'!I$145</f>
        <v>-1009.62</v>
      </c>
      <c r="N44" s="202"/>
      <c r="O44" s="330">
        <f>'4080'!E$30</f>
        <v>278.10000000000002</v>
      </c>
      <c r="Q44" s="331">
        <f t="shared" si="8"/>
        <v>8434.6712333692922</v>
      </c>
      <c r="R44" s="331">
        <f t="shared" si="2"/>
        <v>-363.81114706939951</v>
      </c>
      <c r="S44" s="331">
        <f t="shared" si="3"/>
        <v>8070.8600862998928</v>
      </c>
      <c r="U44" s="331">
        <f t="shared" si="4"/>
        <v>0</v>
      </c>
      <c r="V44" s="331">
        <f t="shared" si="5"/>
        <v>0</v>
      </c>
      <c r="W44" s="331">
        <f t="shared" si="6"/>
        <v>8070.8600862998928</v>
      </c>
    </row>
    <row r="45" spans="1:23" x14ac:dyDescent="0.2">
      <c r="A45" s="216">
        <v>40</v>
      </c>
      <c r="B45" s="263">
        <v>4081</v>
      </c>
      <c r="C45" s="265" t="s">
        <v>235</v>
      </c>
      <c r="D45" s="375">
        <f>'4081'!G$135</f>
        <v>0</v>
      </c>
      <c r="E45" s="375" t="str">
        <f>'4081'!H$133</f>
        <v/>
      </c>
      <c r="F45" s="329">
        <f t="shared" si="0"/>
        <v>4.7761010466048776E-2</v>
      </c>
      <c r="G45" s="394">
        <f t="shared" si="1"/>
        <v>4.9999997900989766E-2</v>
      </c>
      <c r="H45" s="322"/>
      <c r="I45" s="330">
        <f>'4081'!I$128</f>
        <v>997497.74</v>
      </c>
      <c r="J45" s="330">
        <f>I45-'4081'!I$53</f>
        <v>952830.04</v>
      </c>
      <c r="K45" s="330">
        <f>'4081'!I$135</f>
        <v>-47641.5</v>
      </c>
      <c r="L45" s="330">
        <f t="shared" si="7"/>
        <v>949856.24</v>
      </c>
      <c r="M45" s="330">
        <f>'4081'!I$145</f>
        <v>-953.97</v>
      </c>
      <c r="N45" s="202"/>
      <c r="O45" s="330">
        <f>'4081'!E$30</f>
        <v>120.5</v>
      </c>
      <c r="Q45" s="331">
        <f t="shared" si="8"/>
        <v>8277.9895435684648</v>
      </c>
      <c r="R45" s="331">
        <f t="shared" si="2"/>
        <v>-395.36514522821579</v>
      </c>
      <c r="S45" s="331">
        <f t="shared" si="3"/>
        <v>7882.6243983402492</v>
      </c>
      <c r="U45" s="331">
        <f t="shared" si="4"/>
        <v>0</v>
      </c>
      <c r="V45" s="331">
        <f t="shared" si="5"/>
        <v>0</v>
      </c>
      <c r="W45" s="331">
        <f t="shared" si="6"/>
        <v>7882.6243983402492</v>
      </c>
    </row>
    <row r="46" spans="1:23" x14ac:dyDescent="0.2">
      <c r="A46" s="216">
        <v>41</v>
      </c>
      <c r="B46" s="263">
        <v>4090</v>
      </c>
      <c r="C46" s="265" t="s">
        <v>298</v>
      </c>
      <c r="D46" s="375">
        <f>'4090'!G$135</f>
        <v>0</v>
      </c>
      <c r="E46" s="375" t="str">
        <f>'4090'!H$133</f>
        <v/>
      </c>
      <c r="F46" s="329">
        <f t="shared" si="0"/>
        <v>3.5904815531846844E-2</v>
      </c>
      <c r="G46" s="394">
        <f t="shared" si="1"/>
        <v>3.7459916698138064E-2</v>
      </c>
      <c r="H46" s="322"/>
      <c r="I46" s="330">
        <f>'4090'!I$128</f>
        <v>2678195.35</v>
      </c>
      <c r="J46" s="330">
        <f>I46-'4090'!I$53</f>
        <v>2567013.4500000002</v>
      </c>
      <c r="K46" s="330">
        <f>'4090'!I$135</f>
        <v>-96160.11</v>
      </c>
      <c r="L46" s="330">
        <f t="shared" si="7"/>
        <v>2582035.2400000002</v>
      </c>
      <c r="M46" s="330">
        <f>'4090'!I$145</f>
        <v>-46848.01</v>
      </c>
      <c r="N46" s="202"/>
      <c r="O46" s="330">
        <f>'4090'!E$30</f>
        <v>333.68999999999994</v>
      </c>
      <c r="Q46" s="331">
        <f t="shared" si="8"/>
        <v>8025.9982318918774</v>
      </c>
      <c r="R46" s="331">
        <f t="shared" si="2"/>
        <v>-288.17198597500681</v>
      </c>
      <c r="S46" s="331">
        <f t="shared" si="3"/>
        <v>7737.8262459168709</v>
      </c>
      <c r="U46" s="331">
        <f t="shared" si="4"/>
        <v>0</v>
      </c>
      <c r="V46" s="331">
        <f t="shared" si="5"/>
        <v>0</v>
      </c>
      <c r="W46" s="331">
        <f t="shared" si="6"/>
        <v>7737.8262459168709</v>
      </c>
    </row>
    <row r="47" spans="1:23" x14ac:dyDescent="0.2">
      <c r="A47" s="216">
        <v>42</v>
      </c>
      <c r="B47" s="263">
        <v>4091</v>
      </c>
      <c r="C47" s="265" t="s">
        <v>276</v>
      </c>
      <c r="D47" s="375">
        <f>'4091'!G$135</f>
        <v>0</v>
      </c>
      <c r="E47" s="375" t="str">
        <f>'4091'!H$133</f>
        <v/>
      </c>
      <c r="F47" s="329">
        <f t="shared" si="0"/>
        <v>2.8756376888751201E-2</v>
      </c>
      <c r="G47" s="394">
        <f t="shared" si="1"/>
        <v>2.9955186768103687E-2</v>
      </c>
      <c r="H47" s="322"/>
      <c r="I47" s="330">
        <f>'4091'!I$128</f>
        <v>3624963.2700000005</v>
      </c>
      <c r="J47" s="330">
        <f>I47-'4091'!I$53</f>
        <v>3479891.8400000003</v>
      </c>
      <c r="K47" s="330">
        <f>'4091'!I$135</f>
        <v>-104240.81</v>
      </c>
      <c r="L47" s="330">
        <f t="shared" si="7"/>
        <v>3520722.4600000004</v>
      </c>
      <c r="M47" s="330">
        <f>'4091'!I$145</f>
        <v>-221.25</v>
      </c>
      <c r="N47" s="202"/>
      <c r="O47" s="330">
        <f>'4091'!E$30</f>
        <v>417.28999999999996</v>
      </c>
      <c r="Q47" s="331">
        <f t="shared" si="8"/>
        <v>8686.9162213328873</v>
      </c>
      <c r="R47" s="331">
        <f t="shared" si="2"/>
        <v>-249.80423686165497</v>
      </c>
      <c r="S47" s="331">
        <f t="shared" si="3"/>
        <v>8437.1119844712321</v>
      </c>
      <c r="U47" s="331">
        <f t="shared" si="4"/>
        <v>0</v>
      </c>
      <c r="V47" s="331">
        <f t="shared" si="5"/>
        <v>0</v>
      </c>
      <c r="W47" s="331">
        <f t="shared" si="6"/>
        <v>8437.1119844712321</v>
      </c>
    </row>
    <row r="48" spans="1:23" x14ac:dyDescent="0.2">
      <c r="A48" s="216">
        <v>43</v>
      </c>
      <c r="B48" s="263">
        <v>4100</v>
      </c>
      <c r="C48" s="265" t="s">
        <v>299</v>
      </c>
      <c r="D48" s="375">
        <f>'4100'!G$135</f>
        <v>0</v>
      </c>
      <c r="E48" s="375">
        <f>'4100'!H$133</f>
        <v>1</v>
      </c>
      <c r="F48" s="329">
        <f t="shared" si="0"/>
        <v>1.0809973783711905E-2</v>
      </c>
      <c r="G48" s="394">
        <f t="shared" si="1"/>
        <v>1.1268024652435499E-2</v>
      </c>
      <c r="H48" s="322"/>
      <c r="I48" s="330">
        <f>'4100'!I$128</f>
        <v>3074458.8899999997</v>
      </c>
      <c r="J48" s="330">
        <f>I48-'4100'!I$53</f>
        <v>2949480.59</v>
      </c>
      <c r="K48" s="330">
        <f>'4100'!I$135</f>
        <v>-33234.82</v>
      </c>
      <c r="L48" s="330">
        <f t="shared" si="7"/>
        <v>3041224.07</v>
      </c>
      <c r="M48" s="330">
        <f>'4100'!I$145</f>
        <v>-3331.59</v>
      </c>
      <c r="N48" s="202"/>
      <c r="O48" s="330">
        <f>'4100'!E$30</f>
        <v>89.460000000000008</v>
      </c>
      <c r="Q48" s="331">
        <f t="shared" si="8"/>
        <v>34366.85546613011</v>
      </c>
      <c r="R48" s="331">
        <f t="shared" si="2"/>
        <v>-371.50480661748264</v>
      </c>
      <c r="S48" s="331">
        <f t="shared" si="3"/>
        <v>33995.350659512624</v>
      </c>
      <c r="U48" s="331">
        <f t="shared" si="4"/>
        <v>0</v>
      </c>
      <c r="V48" s="331">
        <f t="shared" si="5"/>
        <v>33995.35</v>
      </c>
      <c r="W48" s="331">
        <f t="shared" si="6"/>
        <v>0</v>
      </c>
    </row>
    <row r="49" spans="1:23" x14ac:dyDescent="0.2">
      <c r="A49" s="216">
        <v>44</v>
      </c>
      <c r="B49" s="263">
        <v>4102</v>
      </c>
      <c r="C49" s="265" t="s">
        <v>300</v>
      </c>
      <c r="D49" s="375">
        <f>'4102'!G$135</f>
        <v>0</v>
      </c>
      <c r="E49" s="375" t="str">
        <f>'4102'!H$133</f>
        <v/>
      </c>
      <c r="F49" s="329">
        <f t="shared" si="0"/>
        <v>4.7227092681129561E-2</v>
      </c>
      <c r="G49" s="394">
        <f t="shared" si="1"/>
        <v>5.0000004571649125E-2</v>
      </c>
      <c r="H49" s="322"/>
      <c r="I49" s="330">
        <f>'4102'!I$128</f>
        <v>1042121.7399999999</v>
      </c>
      <c r="J49" s="330">
        <f>I49-'4102'!I$53</f>
        <v>984327.50999999989</v>
      </c>
      <c r="K49" s="330">
        <f>'4102'!I$135</f>
        <v>-49216.38</v>
      </c>
      <c r="L49" s="330">
        <f t="shared" si="7"/>
        <v>992905.35999999987</v>
      </c>
      <c r="M49" s="330">
        <f>'4102'!I$145</f>
        <v>8282.18</v>
      </c>
      <c r="N49" s="202"/>
      <c r="O49" s="330">
        <f>'4102'!E$30</f>
        <v>123.5</v>
      </c>
      <c r="Q49" s="331">
        <f t="shared" si="8"/>
        <v>8438.2327125506072</v>
      </c>
      <c r="R49" s="331">
        <f>K49/O49</f>
        <v>-398.51319838056679</v>
      </c>
      <c r="S49" s="331">
        <f>L49/O49</f>
        <v>8039.7195141700395</v>
      </c>
      <c r="U49" s="331">
        <f t="shared" si="4"/>
        <v>0</v>
      </c>
      <c r="V49" s="331">
        <f t="shared" si="5"/>
        <v>0</v>
      </c>
      <c r="W49" s="331">
        <f>IF(AND(U49=0,V49=0),S49,)</f>
        <v>8039.7195141700395</v>
      </c>
    </row>
    <row r="50" spans="1:23" x14ac:dyDescent="0.2">
      <c r="A50" s="216">
        <v>45</v>
      </c>
      <c r="B50" s="263">
        <v>4103</v>
      </c>
      <c r="C50" s="265" t="s">
        <v>325</v>
      </c>
      <c r="D50" s="375">
        <f>'4103'!G$135</f>
        <v>0</v>
      </c>
      <c r="E50" s="375" t="str">
        <f>'4103'!H$133</f>
        <v/>
      </c>
      <c r="F50" s="329">
        <f>IF(I50=0,0,-K50/I50)</f>
        <v>1.1623679869168414E-2</v>
      </c>
      <c r="G50" s="394">
        <f t="shared" si="1"/>
        <v>1.2101381047525181E-2</v>
      </c>
      <c r="H50" s="322"/>
      <c r="I50" s="330">
        <f>'4103'!I$128</f>
        <v>8360354.1299999999</v>
      </c>
      <c r="J50" s="330">
        <f>I50-'4103'!I$53</f>
        <v>8030329.7299999995</v>
      </c>
      <c r="K50" s="330">
        <f>'4103'!I$135</f>
        <v>-97178.08</v>
      </c>
      <c r="L50" s="330">
        <f t="shared" si="7"/>
        <v>8263176.0499999998</v>
      </c>
      <c r="M50" s="330">
        <f>'4103'!I$145</f>
        <v>-11624.04</v>
      </c>
      <c r="N50" s="202"/>
      <c r="O50" s="330">
        <f>'4103'!E$30</f>
        <v>1032.94</v>
      </c>
      <c r="Q50" s="331">
        <f>IF(O50=0,0,I50/O50)</f>
        <v>8093.7461323987836</v>
      </c>
      <c r="R50" s="331">
        <f>IF(O50=0,0,K50/O50)</f>
        <v>-94.079113985323445</v>
      </c>
      <c r="S50" s="331">
        <f>IF(O50=0,0,L50/O50)</f>
        <v>7999.66701841346</v>
      </c>
      <c r="U50" s="331">
        <f t="shared" si="4"/>
        <v>0</v>
      </c>
      <c r="V50" s="331">
        <f t="shared" si="5"/>
        <v>0</v>
      </c>
      <c r="W50" s="331">
        <f>IF(AND(U50=0,V50=0),S50,)</f>
        <v>7999.66701841346</v>
      </c>
    </row>
    <row r="51" spans="1:23" x14ac:dyDescent="0.2">
      <c r="A51" s="216">
        <v>46</v>
      </c>
      <c r="B51" s="263">
        <v>4111</v>
      </c>
      <c r="C51" s="265" t="s">
        <v>342</v>
      </c>
      <c r="D51" s="375">
        <f>'4111'!G$135</f>
        <v>0</v>
      </c>
      <c r="E51" s="375" t="str">
        <f>'4111'!H$133</f>
        <v/>
      </c>
      <c r="F51" s="329">
        <f>IF(I51=0,0,-K51/I51)</f>
        <v>3.8745746766480287E-2</v>
      </c>
      <c r="G51" s="394">
        <f t="shared" si="1"/>
        <v>4.0412533146388187E-2</v>
      </c>
      <c r="H51" s="322"/>
      <c r="I51" s="330">
        <f>'4111'!I$128</f>
        <v>2472125.0199999996</v>
      </c>
      <c r="J51" s="330">
        <f>I51-'4111'!I$53</f>
        <v>2370163.9699999997</v>
      </c>
      <c r="K51" s="330">
        <f>'4111'!I$135</f>
        <v>-95784.33</v>
      </c>
      <c r="L51" s="330">
        <f t="shared" si="7"/>
        <v>2376340.6899999995</v>
      </c>
      <c r="M51" s="330">
        <f>'4111'!I$145</f>
        <v>-9037.33</v>
      </c>
      <c r="N51" s="202"/>
      <c r="O51" s="330">
        <f>'4111'!E$30</f>
        <v>309.30999999999995</v>
      </c>
      <c r="Q51" s="331">
        <f>IF(O51=0,0,I51/O51)</f>
        <v>7992.3863437974851</v>
      </c>
      <c r="R51" s="331">
        <f>IF(O51=0,0,K51/O51)</f>
        <v>-309.67097733665258</v>
      </c>
      <c r="S51" s="331">
        <f>IF(O51=0,0,L51/O51)</f>
        <v>7682.7153664608322</v>
      </c>
      <c r="U51" s="331">
        <f t="shared" si="4"/>
        <v>0</v>
      </c>
      <c r="V51" s="331">
        <f t="shared" si="5"/>
        <v>0</v>
      </c>
      <c r="W51" s="331">
        <f>IF(AND(U51=0,V51=0),S51,)</f>
        <v>7682.7153664608322</v>
      </c>
    </row>
    <row r="52" spans="1:23" x14ac:dyDescent="0.2">
      <c r="A52" s="216">
        <v>47</v>
      </c>
      <c r="B52" s="263">
        <v>4131</v>
      </c>
      <c r="C52" s="265" t="s">
        <v>376</v>
      </c>
      <c r="D52" s="375">
        <f>'4103'!G$135</f>
        <v>0</v>
      </c>
      <c r="E52" s="375" t="str">
        <f>'4103'!H$133</f>
        <v/>
      </c>
      <c r="F52" s="329">
        <f>IF(I52=0,0,-K52/I52)</f>
        <v>4.8879293575761637E-2</v>
      </c>
      <c r="G52" s="394">
        <f t="shared" si="1"/>
        <v>5.0000005567464353E-2</v>
      </c>
      <c r="H52" s="322"/>
      <c r="I52" s="330">
        <f>'4131'!I$128</f>
        <v>551199.66</v>
      </c>
      <c r="J52" s="330">
        <f>I52-'4131'!I$53</f>
        <v>538844.94000000006</v>
      </c>
      <c r="K52" s="330">
        <f>'4131'!I$135</f>
        <v>-26942.25</v>
      </c>
      <c r="L52" s="330">
        <f>I52+K52</f>
        <v>524257.41000000003</v>
      </c>
      <c r="M52" s="330">
        <f>'4131'!I$145</f>
        <v>1112.98</v>
      </c>
      <c r="N52" s="202"/>
      <c r="O52" s="330">
        <f>'4131'!E$30</f>
        <v>69.300000000000011</v>
      </c>
      <c r="Q52" s="331">
        <f>IF(O52=0,0,I52/O52)</f>
        <v>7953.8190476190466</v>
      </c>
      <c r="R52" s="331">
        <f>IF(O52=0,0,K52/O52)</f>
        <v>-388.7770562770562</v>
      </c>
      <c r="S52" s="331">
        <f>IF(O52=0,0,L52/O52)</f>
        <v>7565.041991341991</v>
      </c>
      <c r="U52" s="331">
        <f t="shared" si="4"/>
        <v>0</v>
      </c>
      <c r="V52" s="331">
        <f t="shared" si="5"/>
        <v>0</v>
      </c>
      <c r="W52" s="331">
        <f>IF(AND(U52=0,V52=0),S52,)</f>
        <v>7565.041991341991</v>
      </c>
    </row>
    <row r="53" spans="1:23" x14ac:dyDescent="0.2">
      <c r="A53" s="216"/>
    </row>
    <row r="54" spans="1:23" ht="13.5" thickBot="1" x14ac:dyDescent="0.25">
      <c r="D54" s="192">
        <f>COUNTIF(D6:D53,"H")</f>
        <v>12</v>
      </c>
      <c r="E54" s="377">
        <f>SUM(E6:E53)</f>
        <v>9</v>
      </c>
      <c r="F54" s="322">
        <f>-K54/I54</f>
        <v>1.5582117761073225E-2</v>
      </c>
      <c r="G54" s="322">
        <f t="shared" si="1"/>
        <v>1.6235276186584099E-2</v>
      </c>
      <c r="I54" s="202">
        <f>SUM(I6:I53)</f>
        <v>203442119.91000003</v>
      </c>
      <c r="J54" s="202">
        <f>SUM(J6:J53)</f>
        <v>195257477.20999998</v>
      </c>
      <c r="K54" s="202">
        <f>SUM(K6:K53)</f>
        <v>-3170059.0700000003</v>
      </c>
      <c r="L54" s="202">
        <f>SUM(L6:L53)</f>
        <v>200272060.84000009</v>
      </c>
      <c r="M54" s="202">
        <f>SUM(M6:M53)</f>
        <v>-87597.950000000012</v>
      </c>
      <c r="O54" s="327">
        <f>SUM(O6:O53)</f>
        <v>22144.189999999995</v>
      </c>
      <c r="Q54" s="239">
        <f>I54/O54</f>
        <v>9187.1556335996065</v>
      </c>
      <c r="R54" s="239">
        <f>K54/O54</f>
        <v>-143.15534097205636</v>
      </c>
      <c r="S54" s="239">
        <f>L54/O54</f>
        <v>9044.0002926275538</v>
      </c>
      <c r="U54" s="202">
        <f>AVERAGEIF(U6:U51,"&lt;&gt;0")</f>
        <v>8229.8884401287487</v>
      </c>
      <c r="V54" s="202">
        <f>AVERAGEIF(V6:V51,"&lt;&gt;0")</f>
        <v>24578.013333333336</v>
      </c>
      <c r="W54" s="202">
        <f>AVERAGEIF(W6:W51,"&lt;&gt;0")</f>
        <v>8170.4905857200092</v>
      </c>
    </row>
    <row r="55" spans="1:23" ht="13.5" thickTop="1" x14ac:dyDescent="0.2">
      <c r="O55" s="202">
        <f>O54-Consolidated!E32</f>
        <v>0</v>
      </c>
    </row>
    <row r="56" spans="1:23" x14ac:dyDescent="0.2">
      <c r="C56" s="188" t="s">
        <v>301</v>
      </c>
      <c r="I56" s="326">
        <f>Consolidated!I126</f>
        <v>203442119.91000003</v>
      </c>
      <c r="J56" s="326">
        <f>Consolidated!I128</f>
        <v>195257477.20999998</v>
      </c>
      <c r="K56" s="326">
        <f>Consolidated!I133</f>
        <v>-3170059.0700000003</v>
      </c>
      <c r="L56" s="326">
        <f>I56+K56</f>
        <v>200272060.84000003</v>
      </c>
      <c r="M56" s="326">
        <f>Consolidated!I143</f>
        <v>-87597.950000000012</v>
      </c>
    </row>
    <row r="58" spans="1:23" ht="13.5" thickBot="1" x14ac:dyDescent="0.25">
      <c r="C58" s="188" t="s">
        <v>302</v>
      </c>
      <c r="I58" s="327">
        <f>I56-I54</f>
        <v>0</v>
      </c>
      <c r="J58" s="327">
        <f>J56-J54</f>
        <v>0</v>
      </c>
      <c r="K58" s="327">
        <f>K56-K54</f>
        <v>0</v>
      </c>
      <c r="L58" s="327">
        <f>L56-L54</f>
        <v>0</v>
      </c>
      <c r="M58" s="327">
        <f>M56-M54</f>
        <v>0</v>
      </c>
    </row>
    <row r="59" spans="1:23" ht="13.5" thickTop="1" x14ac:dyDescent="0.2"/>
    <row r="60" spans="1:23" x14ac:dyDescent="0.2">
      <c r="L60" s="202"/>
    </row>
  </sheetData>
  <mergeCells count="3">
    <mergeCell ref="I4:L4"/>
    <mergeCell ref="Q4:S4"/>
    <mergeCell ref="U4:W4"/>
  </mergeCells>
  <conditionalFormatting sqref="F6:G37 I6:M37 Q6:S37 U6:W37 B6:E48 O6:O37">
    <cfRule type="expression" dxfId="25" priority="14" stopIfTrue="1">
      <formula>MOD(ROW(),2)=0</formula>
    </cfRule>
  </conditionalFormatting>
  <conditionalFormatting sqref="F40:G48 I40:M48">
    <cfRule type="expression" dxfId="24" priority="23" stopIfTrue="1">
      <formula>MOD(ROW(),2)=0</formula>
    </cfRule>
  </conditionalFormatting>
  <conditionalFormatting sqref="O40:O48 Q40:S48 U40:W48">
    <cfRule type="expression" dxfId="23" priority="15" stopIfTrue="1">
      <formula>MOD(ROW(),2)=0</formula>
    </cfRule>
  </conditionalFormatting>
  <conditionalFormatting sqref="O55">
    <cfRule type="cellIs" dxfId="22" priority="22" stopIfTrue="1" operator="equal">
      <formula>0</formula>
    </cfRule>
  </conditionalFormatting>
  <conditionalFormatting sqref="F38:G39 I38:M39 Q38:S39 U38:W39 O38:O39">
    <cfRule type="expression" dxfId="21" priority="13" stopIfTrue="1">
      <formula>MOD(ROW(),2)=0</formula>
    </cfRule>
  </conditionalFormatting>
  <conditionalFormatting sqref="B50:E50">
    <cfRule type="expression" dxfId="20" priority="10" stopIfTrue="1">
      <formula>MOD(ROW(),2)=0</formula>
    </cfRule>
  </conditionalFormatting>
  <conditionalFormatting sqref="F50:G50 I50:M50">
    <cfRule type="expression" dxfId="19" priority="12" stopIfTrue="1">
      <formula>MOD(ROW(),2)=0</formula>
    </cfRule>
  </conditionalFormatting>
  <conditionalFormatting sqref="O50 Q50:S50 U50:W50">
    <cfRule type="expression" dxfId="18" priority="11" stopIfTrue="1">
      <formula>MOD(ROW(),2)=0</formula>
    </cfRule>
  </conditionalFormatting>
  <conditionalFormatting sqref="B49:E49">
    <cfRule type="expression" dxfId="17" priority="7" stopIfTrue="1">
      <formula>MOD(ROW(),2)=0</formula>
    </cfRule>
  </conditionalFormatting>
  <conditionalFormatting sqref="F49:G49 I49:M49">
    <cfRule type="expression" dxfId="16" priority="9" stopIfTrue="1">
      <formula>MOD(ROW(),2)=0</formula>
    </cfRule>
  </conditionalFormatting>
  <conditionalFormatting sqref="O49 Q49:S49 U49:W49">
    <cfRule type="expression" dxfId="15" priority="8" stopIfTrue="1">
      <formula>MOD(ROW(),2)=0</formula>
    </cfRule>
  </conditionalFormatting>
  <conditionalFormatting sqref="B51:E51">
    <cfRule type="expression" dxfId="14" priority="4" stopIfTrue="1">
      <formula>MOD(ROW(),2)=0</formula>
    </cfRule>
  </conditionalFormatting>
  <conditionalFormatting sqref="F51:G51 I51:M51">
    <cfRule type="expression" dxfId="13" priority="6" stopIfTrue="1">
      <formula>MOD(ROW(),2)=0</formula>
    </cfRule>
  </conditionalFormatting>
  <conditionalFormatting sqref="O51 Q51:S51 U51:W51">
    <cfRule type="expression" dxfId="12" priority="5" stopIfTrue="1">
      <formula>MOD(ROW(),2)=0</formula>
    </cfRule>
  </conditionalFormatting>
  <conditionalFormatting sqref="B52:E52">
    <cfRule type="expression" dxfId="11" priority="1" stopIfTrue="1">
      <formula>MOD(ROW(),2)=0</formula>
    </cfRule>
  </conditionalFormatting>
  <conditionalFormatting sqref="F52:G52 I52:M52">
    <cfRule type="expression" dxfId="10" priority="3" stopIfTrue="1">
      <formula>MOD(ROW(),2)=0</formula>
    </cfRule>
  </conditionalFormatting>
  <conditionalFormatting sqref="O52 Q52:S52 U52:W52">
    <cfRule type="expression" dxfId="9" priority="2" stopIfTrue="1">
      <formula>MOD(ROW(),2)=0</formula>
    </cfRule>
  </conditionalFormatting>
  <pageMargins left="0.7" right="0.7" top="0.75" bottom="0.75" header="0.3" footer="0.3"/>
  <pageSetup orientation="portrait" r:id="rId1"/>
  <ignoredErrors>
    <ignoredError sqref="D51:E5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topLeftCell="A16"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257</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0.5</v>
      </c>
      <c r="E15" s="116">
        <f t="shared" ref="E15:E29" si="1">IF(D$30=0,C15*2,C15+D15)</f>
        <v>0.5</v>
      </c>
      <c r="F15" s="679">
        <f>'1461'!F15:G15</f>
        <v>1.1220000000000001</v>
      </c>
      <c r="G15" s="679"/>
      <c r="H15" s="80">
        <f t="shared" ref="H15:H29" si="2">ROUND(E15*F15,4)</f>
        <v>0.56100000000000005</v>
      </c>
      <c r="I15" s="101">
        <f t="shared" ref="I15:I29" si="3">ROUND(ROUND(ROUND(H15*$C$8,4)*($H$8),2)*(MAX($H$9,1)),2)</f>
        <v>3010.83</v>
      </c>
      <c r="J15" s="65" t="str">
        <f>IF(ROUND(E15,2)=ROUND(SUM(E57:E59),2)," ","CHECK PK-3 LINES BELOW")</f>
        <v xml:space="preserve"> </v>
      </c>
      <c r="N15" s="621" t="s">
        <v>21</v>
      </c>
      <c r="O15" s="621"/>
      <c r="P15" s="662">
        <f t="shared" si="0"/>
        <v>0.5</v>
      </c>
      <c r="Q15" s="662"/>
      <c r="R15" s="667">
        <v>1</v>
      </c>
      <c r="S15" s="667"/>
      <c r="T15" s="95">
        <f t="shared" ref="T15:T29" si="4">ROUND(P15*R15,4)</f>
        <v>0.5</v>
      </c>
      <c r="U15" s="486">
        <f t="shared" ref="U15:U29" si="5">ROUND(ROUND(ROUND(T15*$C$8,4)*($H$8),2)*(MAX($H$9,1)),2)</f>
        <v>2683.45</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25.66</v>
      </c>
      <c r="D20" s="143">
        <v>29.73</v>
      </c>
      <c r="E20" s="116">
        <f t="shared" si="1"/>
        <v>55.39</v>
      </c>
      <c r="F20" s="679">
        <f>'1461'!F20:G20</f>
        <v>3.706</v>
      </c>
      <c r="G20" s="679"/>
      <c r="H20" s="80">
        <f t="shared" si="2"/>
        <v>205.27529999999999</v>
      </c>
      <c r="I20" s="101">
        <f t="shared" si="3"/>
        <v>1101693.25</v>
      </c>
      <c r="N20" s="621" t="s">
        <v>79</v>
      </c>
      <c r="O20" s="621"/>
      <c r="P20" s="662">
        <f t="shared" si="0"/>
        <v>55.39</v>
      </c>
      <c r="Q20" s="662"/>
      <c r="R20" s="667">
        <v>1</v>
      </c>
      <c r="S20" s="667"/>
      <c r="T20" s="95">
        <f t="shared" si="4"/>
        <v>55.39</v>
      </c>
      <c r="U20" s="486">
        <f t="shared" si="5"/>
        <v>297272.93</v>
      </c>
    </row>
    <row r="21" spans="1:21" x14ac:dyDescent="0.25">
      <c r="A21" s="596" t="s">
        <v>80</v>
      </c>
      <c r="B21" s="596"/>
      <c r="C21" s="143">
        <v>22.13</v>
      </c>
      <c r="D21" s="143">
        <v>24</v>
      </c>
      <c r="E21" s="116">
        <f t="shared" si="1"/>
        <v>46.129999999999995</v>
      </c>
      <c r="F21" s="679">
        <f>'1461'!F21:G21</f>
        <v>3.706</v>
      </c>
      <c r="G21" s="679"/>
      <c r="H21" s="80">
        <f t="shared" si="2"/>
        <v>170.95779999999999</v>
      </c>
      <c r="I21" s="101">
        <f t="shared" si="3"/>
        <v>917514.45</v>
      </c>
      <c r="N21" s="621" t="s">
        <v>80</v>
      </c>
      <c r="O21" s="621"/>
      <c r="P21" s="662">
        <f t="shared" si="0"/>
        <v>46.129999999999995</v>
      </c>
      <c r="Q21" s="662"/>
      <c r="R21" s="667">
        <v>1</v>
      </c>
      <c r="S21" s="667"/>
      <c r="T21" s="95">
        <f t="shared" si="4"/>
        <v>46.13</v>
      </c>
      <c r="U21" s="486">
        <f t="shared" si="5"/>
        <v>247575.38</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6.53</v>
      </c>
      <c r="D23" s="143">
        <v>9.0500000000000007</v>
      </c>
      <c r="E23" s="116">
        <f t="shared" si="1"/>
        <v>15.580000000000002</v>
      </c>
      <c r="F23" s="679">
        <f>'1461'!F23:G23</f>
        <v>5.7069999999999999</v>
      </c>
      <c r="G23" s="679"/>
      <c r="H23" s="80">
        <f t="shared" si="2"/>
        <v>88.915099999999995</v>
      </c>
      <c r="I23" s="101">
        <f t="shared" si="3"/>
        <v>477198.99</v>
      </c>
      <c r="N23" s="621" t="s">
        <v>82</v>
      </c>
      <c r="O23" s="621"/>
      <c r="P23" s="662">
        <f t="shared" si="0"/>
        <v>15.580000000000002</v>
      </c>
      <c r="Q23" s="662"/>
      <c r="R23" s="667">
        <v>1</v>
      </c>
      <c r="S23" s="667"/>
      <c r="T23" s="95">
        <f t="shared" si="4"/>
        <v>15.58</v>
      </c>
      <c r="U23" s="486">
        <f t="shared" si="5"/>
        <v>83616.399999999994</v>
      </c>
    </row>
    <row r="24" spans="1:21" x14ac:dyDescent="0.25">
      <c r="A24" s="596" t="s">
        <v>83</v>
      </c>
      <c r="B24" s="596"/>
      <c r="C24" s="143">
        <v>9.0299999999999994</v>
      </c>
      <c r="D24" s="143">
        <v>11.58</v>
      </c>
      <c r="E24" s="116">
        <f t="shared" si="1"/>
        <v>20.61</v>
      </c>
      <c r="F24" s="679">
        <f>'1461'!F24:G24</f>
        <v>5.7069999999999999</v>
      </c>
      <c r="G24" s="679"/>
      <c r="H24" s="80">
        <f t="shared" si="2"/>
        <v>117.62130000000001</v>
      </c>
      <c r="I24" s="101">
        <f t="shared" si="3"/>
        <v>631262.47</v>
      </c>
      <c r="N24" s="621" t="s">
        <v>83</v>
      </c>
      <c r="O24" s="621"/>
      <c r="P24" s="662">
        <f t="shared" si="0"/>
        <v>20.61</v>
      </c>
      <c r="Q24" s="662"/>
      <c r="R24" s="667">
        <v>1</v>
      </c>
      <c r="S24" s="667"/>
      <c r="T24" s="95">
        <f t="shared" si="4"/>
        <v>20.61</v>
      </c>
      <c r="U24" s="486">
        <f t="shared" si="5"/>
        <v>110611.93</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63.35</v>
      </c>
      <c r="D30" s="94">
        <f>SUM(D14:D29)</f>
        <v>74.86</v>
      </c>
      <c r="E30" s="94">
        <f>SUM(E14:E29)</f>
        <v>138.20999999999998</v>
      </c>
      <c r="F30" s="600"/>
      <c r="G30" s="600"/>
      <c r="H30" s="99">
        <f>SUM(H14:H29)</f>
        <v>583.33049999999992</v>
      </c>
      <c r="I30" s="94">
        <f>SUM(I14:I29)</f>
        <v>3130679.99</v>
      </c>
      <c r="N30" s="664" t="s">
        <v>5</v>
      </c>
      <c r="O30" s="664"/>
      <c r="P30" s="665">
        <f>SUM(P14:P29)</f>
        <v>138.20999999999998</v>
      </c>
      <c r="Q30" s="665"/>
      <c r="R30" s="637"/>
      <c r="S30" s="637"/>
      <c r="T30" s="100">
        <f>SUM(T14:T29)</f>
        <v>138.21</v>
      </c>
      <c r="U30" s="486">
        <f>SUM(U14:U29)</f>
        <v>741760.09000000008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583.33049999999992</v>
      </c>
      <c r="F46" s="34"/>
      <c r="G46" s="106"/>
      <c r="H46" s="107" t="s">
        <v>98</v>
      </c>
      <c r="I46" s="94">
        <f>SUM(I44,I30)</f>
        <v>3130679.99</v>
      </c>
      <c r="N46" s="623" t="s">
        <v>44</v>
      </c>
      <c r="O46" s="623"/>
      <c r="P46" s="623"/>
      <c r="Q46" s="623"/>
      <c r="R46" s="35">
        <f>R44+T30</f>
        <v>138.21</v>
      </c>
      <c r="S46" s="637" t="s">
        <v>42</v>
      </c>
      <c r="T46" s="637"/>
      <c r="U46" s="108">
        <f>SUM(U44,U30)</f>
        <v>741760.09000000008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3461150.4699999997</v>
      </c>
      <c r="G51" s="109" t="s">
        <v>6</v>
      </c>
      <c r="H51" s="415">
        <v>4.5199999999999997E-2</v>
      </c>
      <c r="I51" s="101">
        <f>ROUND(F51*H51,2)</f>
        <v>156444</v>
      </c>
      <c r="N51" s="420"/>
      <c r="O51" s="421" t="s">
        <v>422</v>
      </c>
      <c r="P51" s="28"/>
      <c r="Q51" s="44" t="s">
        <v>423</v>
      </c>
      <c r="R51" s="422">
        <f>U30</f>
        <v>741760.09000000008</v>
      </c>
      <c r="S51" s="423" t="s">
        <v>6</v>
      </c>
      <c r="T51" s="424">
        <v>4.5199999999999997E-2</v>
      </c>
      <c r="U51" s="416">
        <f>ROUND(R51*T51,2)</f>
        <v>33527.56</v>
      </c>
    </row>
    <row r="52" spans="1:22" x14ac:dyDescent="0.25">
      <c r="A52" s="26"/>
      <c r="B52" s="81" t="s">
        <v>424</v>
      </c>
      <c r="C52" s="26"/>
      <c r="D52" s="26"/>
      <c r="E52" s="43" t="s">
        <v>423</v>
      </c>
      <c r="F52" s="414">
        <v>3461150.4699999997</v>
      </c>
      <c r="G52" s="109" t="s">
        <v>6</v>
      </c>
      <c r="H52" s="415">
        <v>1.41E-2</v>
      </c>
      <c r="I52" s="101">
        <f>ROUND(F52*H52,2)</f>
        <v>48802.22</v>
      </c>
      <c r="N52" s="28"/>
      <c r="O52" s="397" t="s">
        <v>424</v>
      </c>
      <c r="P52" s="28"/>
      <c r="Q52" s="44" t="s">
        <v>423</v>
      </c>
      <c r="R52" s="422">
        <f>U30</f>
        <v>741760.09000000008</v>
      </c>
      <c r="S52" s="423" t="s">
        <v>6</v>
      </c>
      <c r="T52" s="424">
        <v>1.41E-2</v>
      </c>
      <c r="U52" s="425">
        <f>ROUND(R52*T52,2)</f>
        <v>10458.82</v>
      </c>
    </row>
    <row r="53" spans="1:22" x14ac:dyDescent="0.25">
      <c r="A53" s="26"/>
      <c r="B53" s="81" t="s">
        <v>425</v>
      </c>
      <c r="C53" s="26"/>
      <c r="D53" s="26"/>
      <c r="E53" s="43"/>
      <c r="F53" s="414"/>
      <c r="G53" s="109"/>
      <c r="H53" s="415"/>
      <c r="I53" s="97">
        <f>SUM(I51:I52)</f>
        <v>205246.22</v>
      </c>
      <c r="N53" s="28"/>
      <c r="O53" s="397" t="s">
        <v>425</v>
      </c>
      <c r="P53" s="28"/>
      <c r="Q53" s="44"/>
      <c r="R53" s="422"/>
      <c r="S53" s="423"/>
      <c r="T53" s="424"/>
      <c r="U53" s="416">
        <f>SUM(U51:U52)</f>
        <v>43986.38</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IF(D$72=0,C57*2,C57+D57)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0.5</v>
      </c>
      <c r="E59" s="116">
        <f t="shared" si="10"/>
        <v>0.5</v>
      </c>
      <c r="F59" s="456" t="s">
        <v>462</v>
      </c>
      <c r="G59" s="456">
        <v>253</v>
      </c>
      <c r="H59" s="470">
        <f>'1461'!H59</f>
        <v>6896</v>
      </c>
      <c r="I59" s="101">
        <f t="shared" si="11"/>
        <v>3448</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0</v>
      </c>
      <c r="D66" s="97">
        <f>SUM(D57:D65)</f>
        <v>0.5</v>
      </c>
      <c r="E66" s="97">
        <f>SUM(E57:E65)</f>
        <v>0.5</v>
      </c>
      <c r="F66" s="608" t="s">
        <v>471</v>
      </c>
      <c r="G66" s="608"/>
      <c r="H66" s="608"/>
      <c r="I66" s="97">
        <f>SUM(I57:I65)</f>
        <v>3448</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138.20999999999998</v>
      </c>
      <c r="D69" s="583" t="s">
        <v>437</v>
      </c>
      <c r="E69" s="583"/>
      <c r="F69" s="583"/>
      <c r="G69" s="583"/>
      <c r="H69" s="299">
        <f>'1461'!H69</f>
        <v>202683.97</v>
      </c>
      <c r="I69" s="113"/>
      <c r="N69" s="620" t="s">
        <v>430</v>
      </c>
      <c r="O69" s="621"/>
      <c r="P69" s="41">
        <f>P30</f>
        <v>138.20999999999998</v>
      </c>
      <c r="Q69" s="626" t="s">
        <v>432</v>
      </c>
      <c r="R69" s="627"/>
      <c r="S69" s="627"/>
      <c r="T69" s="624">
        <f>H69</f>
        <v>202683.97</v>
      </c>
      <c r="U69" s="624"/>
    </row>
    <row r="70" spans="1:22" x14ac:dyDescent="0.25">
      <c r="B70" s="69"/>
      <c r="G70" s="42" t="s">
        <v>12</v>
      </c>
      <c r="H70" s="114">
        <f>ROUND(C69/H69,6)</f>
        <v>6.8199999999999999E-4</v>
      </c>
      <c r="I70" s="115"/>
      <c r="N70" s="621"/>
      <c r="O70" s="621"/>
      <c r="P70" s="621"/>
      <c r="Q70" s="621"/>
      <c r="R70" s="621"/>
      <c r="S70" s="621"/>
      <c r="T70" s="625">
        <f>ROUND(P69/T69,6)</f>
        <v>6.8199999999999999E-4</v>
      </c>
      <c r="U70" s="625"/>
    </row>
    <row r="71" spans="1:22" x14ac:dyDescent="0.25">
      <c r="A71" s="455" t="s">
        <v>474</v>
      </c>
      <c r="N71" s="466" t="s">
        <v>482</v>
      </c>
      <c r="O71" s="51"/>
      <c r="P71" s="51"/>
      <c r="Q71" s="51"/>
      <c r="R71" s="51"/>
      <c r="S71" s="51"/>
      <c r="T71" s="51"/>
      <c r="U71" s="51"/>
    </row>
    <row r="72" spans="1:22" x14ac:dyDescent="0.25">
      <c r="A72" s="602" t="s">
        <v>427</v>
      </c>
      <c r="B72" s="596"/>
      <c r="C72" s="112">
        <f>H30</f>
        <v>583.33049999999992</v>
      </c>
      <c r="D72" s="583" t="s">
        <v>438</v>
      </c>
      <c r="E72" s="583"/>
      <c r="F72" s="583"/>
      <c r="G72" s="583"/>
      <c r="H72" s="300">
        <f>'1461'!H72</f>
        <v>228068.32</v>
      </c>
      <c r="I72" s="116"/>
      <c r="N72" s="620" t="s">
        <v>431</v>
      </c>
      <c r="O72" s="621"/>
      <c r="P72" s="41">
        <f>T30</f>
        <v>138.21</v>
      </c>
      <c r="Q72" s="626" t="s">
        <v>433</v>
      </c>
      <c r="R72" s="627"/>
      <c r="S72" s="627"/>
      <c r="T72" s="624">
        <f>H72</f>
        <v>228068.32</v>
      </c>
      <c r="U72" s="624"/>
    </row>
    <row r="73" spans="1:22" x14ac:dyDescent="0.25">
      <c r="G73" s="42" t="s">
        <v>12</v>
      </c>
      <c r="H73" s="114">
        <f>ROUND(C72/H72,6)</f>
        <v>2.5579999999999999E-3</v>
      </c>
      <c r="I73" s="114"/>
      <c r="N73" s="621"/>
      <c r="O73" s="621"/>
      <c r="P73" s="621"/>
      <c r="Q73" s="621"/>
      <c r="R73" s="621"/>
      <c r="S73" s="621"/>
      <c r="T73" s="625">
        <f>ROUND(P72/T72,6)</f>
        <v>6.0599999999999998E-4</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138.20999999999998</v>
      </c>
      <c r="D75" s="575" t="s">
        <v>439</v>
      </c>
      <c r="E75" s="575"/>
      <c r="F75" s="575"/>
      <c r="G75" s="575"/>
      <c r="H75" s="299">
        <f>'1461'!H75</f>
        <v>186715.72</v>
      </c>
      <c r="I75" s="113"/>
      <c r="N75" s="620" t="s">
        <v>429</v>
      </c>
      <c r="O75" s="621"/>
      <c r="P75" s="41">
        <f>P30</f>
        <v>138.20999999999998</v>
      </c>
      <c r="Q75" s="656" t="s">
        <v>434</v>
      </c>
      <c r="R75" s="657"/>
      <c r="S75" s="657"/>
      <c r="T75" s="624">
        <f>H75</f>
        <v>186715.72</v>
      </c>
      <c r="U75" s="624"/>
    </row>
    <row r="76" spans="1:22" x14ac:dyDescent="0.25">
      <c r="B76" s="69"/>
      <c r="G76" s="42" t="s">
        <v>12</v>
      </c>
      <c r="H76" s="114">
        <f>ROUND(C75/H75,6)</f>
        <v>7.3999999999999999E-4</v>
      </c>
      <c r="I76" s="115"/>
      <c r="N76" s="621"/>
      <c r="O76" s="621"/>
      <c r="P76" s="621"/>
      <c r="Q76" s="621"/>
      <c r="R76" s="621"/>
      <c r="S76" s="621"/>
      <c r="T76" s="625">
        <f>ROUND(P75/T75,6)</f>
        <v>7.3999999999999999E-4</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138.20999999999998</v>
      </c>
      <c r="D78" s="603" t="s">
        <v>440</v>
      </c>
      <c r="E78" s="603"/>
      <c r="F78" s="603"/>
      <c r="G78" s="603"/>
      <c r="H78" s="299">
        <f>'1461'!H78</f>
        <v>202339.94</v>
      </c>
      <c r="I78" s="113"/>
      <c r="N78" s="620" t="s">
        <v>429</v>
      </c>
      <c r="O78" s="621"/>
      <c r="P78" s="41">
        <f>P30</f>
        <v>138.20999999999998</v>
      </c>
      <c r="Q78" s="654" t="s">
        <v>435</v>
      </c>
      <c r="R78" s="655"/>
      <c r="S78" s="655"/>
      <c r="T78" s="624">
        <f>H78</f>
        <v>202339.94</v>
      </c>
      <c r="U78" s="624"/>
    </row>
    <row r="79" spans="1:22" x14ac:dyDescent="0.25">
      <c r="B79" s="69"/>
      <c r="G79" s="42" t="s">
        <v>12</v>
      </c>
      <c r="H79" s="114">
        <f>ROUND(C78/H78,6)</f>
        <v>6.8300000000000001E-4</v>
      </c>
      <c r="I79" s="115"/>
      <c r="N79" s="621"/>
      <c r="O79" s="621"/>
      <c r="P79" s="621"/>
      <c r="Q79" s="621"/>
      <c r="R79" s="621"/>
      <c r="S79" s="621"/>
      <c r="T79" s="625">
        <f>ROUND(P78/T78,6)</f>
        <v>6.8300000000000001E-4</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138.20999999999998</v>
      </c>
      <c r="D81" s="575" t="s">
        <v>441</v>
      </c>
      <c r="E81" s="575"/>
      <c r="F81" s="575"/>
      <c r="G81" s="575"/>
      <c r="H81" s="299">
        <f>'1461'!H81</f>
        <v>186371.69</v>
      </c>
      <c r="I81" s="113"/>
      <c r="N81" s="620" t="s">
        <v>442</v>
      </c>
      <c r="O81" s="621"/>
      <c r="P81" s="41">
        <f>P30</f>
        <v>138.20999999999998</v>
      </c>
      <c r="Q81" s="656" t="s">
        <v>443</v>
      </c>
      <c r="R81" s="657"/>
      <c r="S81" s="657"/>
      <c r="T81" s="624">
        <f>H81</f>
        <v>186371.69</v>
      </c>
      <c r="U81" s="624"/>
    </row>
    <row r="82" spans="1:21" x14ac:dyDescent="0.25">
      <c r="B82" s="69"/>
      <c r="G82" s="42" t="s">
        <v>12</v>
      </c>
      <c r="H82" s="114">
        <f>ROUND(C81/H81,6)</f>
        <v>7.4200000000000004E-4</v>
      </c>
      <c r="I82" s="115"/>
      <c r="N82" s="621"/>
      <c r="O82" s="621"/>
      <c r="P82" s="621"/>
      <c r="Q82" s="621"/>
      <c r="R82" s="621"/>
      <c r="S82" s="621"/>
      <c r="T82" s="625">
        <f>ROUND(P81/T81,6)</f>
        <v>7.4200000000000004E-4</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6.8300000000000001E-4</v>
      </c>
      <c r="I85" s="101">
        <f>ROUND(F85*H85,2)</f>
        <v>30395.31</v>
      </c>
      <c r="N85" s="466" t="s">
        <v>478</v>
      </c>
      <c r="O85" s="51"/>
      <c r="P85" s="51"/>
      <c r="Q85" s="44"/>
      <c r="R85" s="433">
        <f>F85</f>
        <v>44502646</v>
      </c>
      <c r="S85" s="38" t="s">
        <v>6</v>
      </c>
      <c r="T85" s="435">
        <f>T79</f>
        <v>6.8300000000000001E-4</v>
      </c>
      <c r="U85" s="486">
        <f>ROUND(R85*T85,2)</f>
        <v>30395.31</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6.8199999999999999E-4</v>
      </c>
      <c r="I88" s="101">
        <f>ROUND(F88*H88,2)</f>
        <v>0</v>
      </c>
      <c r="N88" s="658" t="s">
        <v>99</v>
      </c>
      <c r="O88" s="621"/>
      <c r="P88" s="621"/>
      <c r="Q88" s="44"/>
      <c r="R88" s="433">
        <f>F88</f>
        <v>0</v>
      </c>
      <c r="S88" s="38" t="s">
        <v>6</v>
      </c>
      <c r="T88" s="435">
        <f>T70</f>
        <v>6.8199999999999999E-4</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7.4200000000000004E-4</v>
      </c>
      <c r="I90" s="101">
        <f>ROUND(F90*H90,2)</f>
        <v>12101.4</v>
      </c>
      <c r="N90" s="466" t="s">
        <v>479</v>
      </c>
      <c r="O90" s="51"/>
      <c r="P90" s="51"/>
      <c r="Q90" s="44"/>
      <c r="R90" s="433">
        <f>F90</f>
        <v>16309168</v>
      </c>
      <c r="S90" s="38" t="s">
        <v>6</v>
      </c>
      <c r="T90" s="435">
        <f>T82</f>
        <v>7.4200000000000004E-4</v>
      </c>
      <c r="U90" s="486">
        <f>ROUND(R90*T90,2)</f>
        <v>12101.4</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7.3999999999999999E-4</v>
      </c>
      <c r="I92" s="101">
        <f t="shared" ref="I92:I96" si="14">ROUND(F92*H92,2)</f>
        <v>7510</v>
      </c>
      <c r="N92" s="466" t="s">
        <v>480</v>
      </c>
      <c r="O92" s="51"/>
      <c r="P92" s="51"/>
      <c r="Q92" s="44"/>
      <c r="R92" s="433">
        <f t="shared" ref="R92:R96" si="15">F92</f>
        <v>10148654</v>
      </c>
      <c r="S92" s="38" t="s">
        <v>6</v>
      </c>
      <c r="T92" s="435">
        <f>T76</f>
        <v>7.3999999999999999E-4</v>
      </c>
      <c r="U92" s="486">
        <f>ROUND(R92*T92,2)</f>
        <v>7510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2.5579999999999999E-3</v>
      </c>
      <c r="I94" s="101">
        <f t="shared" si="14"/>
        <v>611356.05000000005</v>
      </c>
      <c r="N94" s="621" t="s">
        <v>445</v>
      </c>
      <c r="O94" s="621"/>
      <c r="P94" s="621"/>
      <c r="Q94" s="44"/>
      <c r="R94" s="433">
        <f t="shared" si="15"/>
        <v>238997674</v>
      </c>
      <c r="S94" s="38" t="s">
        <v>6</v>
      </c>
      <c r="T94" s="435">
        <f>T73</f>
        <v>6.0599999999999998E-4</v>
      </c>
      <c r="U94" s="486">
        <f>ROUND(R94*T94,2)</f>
        <v>144832.59</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2.5579999999999999E-3</v>
      </c>
      <c r="I96" s="101">
        <f t="shared" si="14"/>
        <v>0</v>
      </c>
      <c r="N96" s="620" t="s">
        <v>446</v>
      </c>
      <c r="O96" s="621"/>
      <c r="P96" s="621"/>
      <c r="Q96" s="44"/>
      <c r="R96" s="433">
        <f t="shared" si="15"/>
        <v>0</v>
      </c>
      <c r="S96" s="38" t="s">
        <v>6</v>
      </c>
      <c r="T96" s="435">
        <f>T73</f>
        <v>6.0599999999999998E-4</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6.8199999999999999E-4</v>
      </c>
      <c r="I98" s="101">
        <f t="shared" ref="I98" si="16">ROUND(F98*H98,2)</f>
        <v>0</v>
      </c>
      <c r="N98" s="542" t="s">
        <v>525</v>
      </c>
      <c r="O98" s="542"/>
      <c r="P98" s="542"/>
      <c r="Q98" s="44"/>
      <c r="R98" s="545">
        <f>F98</f>
        <v>0</v>
      </c>
      <c r="S98" s="543" t="s">
        <v>6</v>
      </c>
      <c r="T98" s="435">
        <f>T70</f>
        <v>6.8199999999999999E-4</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294.75139999999999</v>
      </c>
      <c r="D104" s="614"/>
      <c r="E104" s="46">
        <f>H8</f>
        <v>1.0442</v>
      </c>
      <c r="F104" s="302">
        <f>'1461'!F104</f>
        <v>947.59</v>
      </c>
      <c r="G104" s="39" t="s">
        <v>12</v>
      </c>
      <c r="H104" s="101">
        <f>ROUND(C104*E104*F104,2)</f>
        <v>291648.69</v>
      </c>
      <c r="I104" s="104"/>
      <c r="N104" s="28" t="s">
        <v>17</v>
      </c>
      <c r="O104" s="47">
        <f>T14+T15+T20+T23+T26</f>
        <v>71.47</v>
      </c>
      <c r="P104" s="631">
        <f>T8</f>
        <v>1.0442</v>
      </c>
      <c r="Q104" s="631"/>
      <c r="R104" s="48">
        <f>F104</f>
        <v>947.59</v>
      </c>
      <c r="S104" s="40" t="s">
        <v>12</v>
      </c>
      <c r="T104" s="492">
        <f>ROUND(O104*P104*R104,2)</f>
        <v>70717.67</v>
      </c>
      <c r="U104" s="102"/>
    </row>
    <row r="105" spans="1:21" x14ac:dyDescent="0.25">
      <c r="A105" s="49"/>
      <c r="B105" s="49" t="s">
        <v>104</v>
      </c>
      <c r="C105" s="614">
        <f>H16+H17+H21+H24+H27</f>
        <v>288.57909999999998</v>
      </c>
      <c r="D105" s="614"/>
      <c r="E105" s="46">
        <f>H8</f>
        <v>1.0442</v>
      </c>
      <c r="F105" s="302">
        <f>'1461'!F105</f>
        <v>904.74</v>
      </c>
      <c r="G105" s="39" t="s">
        <v>12</v>
      </c>
      <c r="H105" s="101">
        <f>ROUND(C105*E105*F105,2)</f>
        <v>272629.19</v>
      </c>
      <c r="N105" s="50" t="s">
        <v>13</v>
      </c>
      <c r="O105" s="47">
        <f>T16+T17+T21+T24+T27</f>
        <v>66.740000000000009</v>
      </c>
      <c r="P105" s="631">
        <f>T8</f>
        <v>1.0442</v>
      </c>
      <c r="Q105" s="631"/>
      <c r="R105" s="48">
        <f>F105</f>
        <v>904.74</v>
      </c>
      <c r="S105" s="40" t="s">
        <v>12</v>
      </c>
      <c r="T105" s="492">
        <f>ROUND(O105*P105*R105,2)</f>
        <v>63051.25</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583.33050000000003</v>
      </c>
      <c r="D107" s="604"/>
      <c r="E107" s="123"/>
      <c r="F107" s="123"/>
      <c r="G107" s="123"/>
      <c r="H107" s="124" t="s">
        <v>100</v>
      </c>
      <c r="I107" s="101">
        <f>IF(A1=75,0,H106+H105+H104)</f>
        <v>564277.88</v>
      </c>
      <c r="N107" s="56" t="s">
        <v>89</v>
      </c>
      <c r="O107" s="57">
        <f>SUM(O104:O106)</f>
        <v>138.21</v>
      </c>
      <c r="P107" s="632" t="s">
        <v>16</v>
      </c>
      <c r="Q107" s="633"/>
      <c r="R107" s="633"/>
      <c r="S107" s="633"/>
      <c r="T107" s="633"/>
      <c r="U107" s="486">
        <f>IF(N1=75,0,T106+T105+T104)</f>
        <v>133768.91999999998</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0</v>
      </c>
      <c r="D113" s="143">
        <v>0</v>
      </c>
      <c r="E113" s="116">
        <f>(C113+D113)/2</f>
        <v>0</v>
      </c>
      <c r="F113" s="126" t="s">
        <v>30</v>
      </c>
      <c r="G113" s="303">
        <f>'1461'!G113</f>
        <v>536</v>
      </c>
      <c r="I113" s="101">
        <f>ROUND(G113*E113,2)</f>
        <v>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1</v>
      </c>
      <c r="E114" s="116">
        <f>(C114+D114)/2</f>
        <v>0.5</v>
      </c>
      <c r="F114" s="126" t="s">
        <v>30</v>
      </c>
      <c r="G114" s="303">
        <f>'1461'!G114</f>
        <v>1760</v>
      </c>
      <c r="I114" s="101">
        <f>ROUND(G114*E114,2)</f>
        <v>880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4360648.63</v>
      </c>
      <c r="N128" s="466"/>
      <c r="O128" s="465"/>
      <c r="P128" s="465"/>
      <c r="Q128" s="305"/>
      <c r="R128" s="305"/>
      <c r="S128" s="305"/>
      <c r="T128" s="305"/>
      <c r="U128" s="493">
        <f>SUM(U30,U85,U88,U90,U92,U94,U96,U107,U113,U114,U124,U126)</f>
        <v>1070368.31</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4155402.4099999997</v>
      </c>
      <c r="N130" s="620" t="s">
        <v>457</v>
      </c>
      <c r="O130" s="621"/>
      <c r="P130" s="621"/>
      <c r="Q130" s="621"/>
      <c r="R130" s="621"/>
      <c r="S130" s="621"/>
      <c r="T130" s="621"/>
      <c r="U130" s="132">
        <f>U128-U53</f>
        <v>1026381.93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f>IF(E30=0,"",IF((E15+E17+SUM(E19:E25))/E30&gt;0.75,1,""))</f>
        <v>1</v>
      </c>
      <c r="I133" s="116">
        <f>U130</f>
        <v>1026381.93</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1026381.93</v>
      </c>
      <c r="I135" s="94">
        <f>ROUND(IF(E30=0,0,IF(E30&gt;250,-(((250/E30)*H135)*IF(G135="H",0.02,0.05)),IF(G135="H",-0.02*H135,-0.05*H135))),2)</f>
        <v>-51319.1</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4309329.53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-4301254.9400000013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8074.5899999989197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8074.59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54" t="str">
        <f>'1461'!A152</f>
        <v>(a) Additional FTE includes FTE earned through Advanced Placement, International Baccalaureate, Advanced International Certificate of Education, Industry Certified Career</v>
      </c>
      <c r="B152" s="355"/>
      <c r="C152" s="355"/>
      <c r="D152" s="355"/>
      <c r="E152" s="355"/>
      <c r="F152" s="355"/>
      <c r="G152" s="355"/>
      <c r="H152" s="355"/>
      <c r="I152" s="355"/>
      <c r="J152" s="77"/>
      <c r="K152" s="76"/>
      <c r="L152" s="76"/>
      <c r="M152" s="76"/>
      <c r="N152" s="73"/>
      <c r="O152" s="73"/>
      <c r="P152" s="73"/>
      <c r="Q152" s="73"/>
      <c r="R152" s="73"/>
      <c r="S152" s="73"/>
      <c r="T152" s="73"/>
      <c r="U152" s="73"/>
    </row>
    <row r="153" spans="1:21" ht="15.75" customHeight="1" x14ac:dyDescent="0.25">
      <c r="A153" s="360" t="s">
        <v>394</v>
      </c>
      <c r="B153" s="355"/>
      <c r="C153" s="355"/>
      <c r="D153" s="355"/>
      <c r="E153" s="355"/>
      <c r="F153" s="355"/>
      <c r="G153" s="355"/>
      <c r="H153" s="355"/>
      <c r="I153" s="355"/>
      <c r="J153" s="77"/>
      <c r="K153" s="76"/>
      <c r="L153" s="76"/>
      <c r="M153" s="76"/>
      <c r="N153" s="73"/>
      <c r="O153" s="73"/>
      <c r="P153" s="73"/>
      <c r="Q153" s="73"/>
      <c r="R153" s="73"/>
      <c r="S153" s="73"/>
      <c r="T153" s="73"/>
      <c r="U153" s="73"/>
    </row>
    <row r="154" spans="1:21" x14ac:dyDescent="0.25">
      <c r="A154" s="354" t="s">
        <v>395</v>
      </c>
      <c r="B154" s="356"/>
      <c r="C154" s="356"/>
      <c r="D154" s="356"/>
      <c r="E154" s="356"/>
      <c r="F154" s="356"/>
      <c r="G154" s="356"/>
      <c r="H154" s="356"/>
      <c r="I154" s="356"/>
      <c r="J154" s="76"/>
      <c r="K154" s="76"/>
      <c r="L154" s="76"/>
      <c r="M154" s="76"/>
      <c r="N154" s="73"/>
      <c r="O154" s="73"/>
      <c r="P154" s="73"/>
      <c r="Q154" s="73"/>
      <c r="R154" s="73"/>
      <c r="S154" s="73"/>
      <c r="T154" s="73"/>
      <c r="U154" s="73"/>
    </row>
    <row r="155" spans="1:21" s="76" customFormat="1" x14ac:dyDescent="0.2">
      <c r="A155" s="354" t="s">
        <v>396</v>
      </c>
      <c r="B155" s="356"/>
      <c r="C155" s="356"/>
      <c r="D155" s="356"/>
      <c r="E155" s="356"/>
      <c r="F155" s="356"/>
      <c r="G155" s="356"/>
      <c r="H155" s="356"/>
      <c r="I155" s="356"/>
      <c r="N155" s="645"/>
      <c r="O155" s="645"/>
      <c r="P155" s="645"/>
      <c r="Q155" s="645"/>
      <c r="R155" s="645"/>
      <c r="S155" s="645"/>
      <c r="T155" s="645"/>
      <c r="U155" s="645"/>
    </row>
    <row r="156" spans="1:21" s="76" customFormat="1" x14ac:dyDescent="0.2">
      <c r="A156" s="354" t="s">
        <v>397</v>
      </c>
      <c r="B156" s="356"/>
      <c r="C156" s="356"/>
      <c r="D156" s="356"/>
      <c r="E156" s="356"/>
      <c r="F156" s="356"/>
      <c r="G156" s="356"/>
      <c r="H156" s="356"/>
      <c r="I156" s="356"/>
      <c r="N156" s="73"/>
      <c r="O156" s="73"/>
      <c r="P156" s="73"/>
      <c r="Q156" s="73"/>
      <c r="R156" s="73"/>
      <c r="S156" s="73"/>
      <c r="T156" s="73"/>
      <c r="U156" s="73"/>
    </row>
    <row r="157" spans="1:21" s="76" customFormat="1" x14ac:dyDescent="0.2">
      <c r="A157" s="354" t="s">
        <v>398</v>
      </c>
      <c r="B157" s="356"/>
      <c r="C157" s="356"/>
      <c r="D157" s="356"/>
      <c r="E157" s="356"/>
      <c r="F157" s="356"/>
      <c r="G157" s="356"/>
      <c r="H157" s="356"/>
      <c r="I157" s="356"/>
      <c r="N157" s="78"/>
      <c r="O157" s="79"/>
      <c r="P157" s="79"/>
      <c r="Q157" s="79"/>
      <c r="R157" s="79"/>
      <c r="S157" s="79"/>
      <c r="T157" s="79"/>
      <c r="U157" s="79"/>
    </row>
    <row r="158" spans="1:21" s="76" customFormat="1" x14ac:dyDescent="0.2">
      <c r="A158" s="354" t="s">
        <v>399</v>
      </c>
      <c r="B158" s="356"/>
      <c r="C158" s="356"/>
      <c r="D158" s="356"/>
      <c r="E158" s="356"/>
      <c r="F158" s="356"/>
      <c r="G158" s="356"/>
      <c r="H158" s="356"/>
      <c r="I158" s="356"/>
      <c r="N158" s="78"/>
    </row>
    <row r="159" spans="1:21" s="76" customFormat="1" x14ac:dyDescent="0.2">
      <c r="A159" s="354" t="s">
        <v>401</v>
      </c>
      <c r="B159" s="356"/>
      <c r="C159" s="356"/>
      <c r="D159" s="356"/>
      <c r="E159" s="356"/>
      <c r="F159" s="356"/>
      <c r="G159" s="356"/>
      <c r="H159" s="356"/>
      <c r="I159" s="356"/>
      <c r="N159" s="78"/>
    </row>
    <row r="160" spans="1:21" s="76" customFormat="1" x14ac:dyDescent="0.2">
      <c r="A160" s="360" t="s">
        <v>400</v>
      </c>
      <c r="B160" s="356"/>
      <c r="C160" s="356"/>
      <c r="D160" s="356"/>
      <c r="E160" s="356"/>
      <c r="F160" s="356"/>
      <c r="G160" s="356"/>
      <c r="H160" s="356"/>
      <c r="I160" s="356"/>
      <c r="N160" s="78"/>
    </row>
    <row r="161" spans="1:14" s="76" customFormat="1" x14ac:dyDescent="0.2">
      <c r="A161" s="354" t="s">
        <v>402</v>
      </c>
      <c r="B161" s="356"/>
      <c r="C161" s="356"/>
      <c r="D161" s="356"/>
      <c r="E161" s="356"/>
      <c r="F161" s="356"/>
      <c r="G161" s="356"/>
      <c r="H161" s="356"/>
      <c r="I161" s="356"/>
      <c r="N161" s="78"/>
    </row>
    <row r="162" spans="1:14" s="76" customFormat="1" x14ac:dyDescent="0.2">
      <c r="A162" s="360" t="str">
        <f>'1461'!A162</f>
        <v>"All Adjusted ESE Riders" should include only ESE Riders.</v>
      </c>
      <c r="B162" s="356"/>
      <c r="C162" s="356"/>
      <c r="D162" s="356"/>
      <c r="E162" s="356"/>
      <c r="F162" s="356"/>
      <c r="G162" s="356"/>
      <c r="H162" s="356"/>
      <c r="I162" s="356"/>
      <c r="N162" s="78"/>
    </row>
    <row r="163" spans="1:14" s="76" customFormat="1" x14ac:dyDescent="0.2">
      <c r="A163" s="354" t="s">
        <v>405</v>
      </c>
      <c r="B163" s="356"/>
      <c r="C163" s="356"/>
      <c r="D163" s="356"/>
      <c r="E163" s="356"/>
      <c r="F163" s="356"/>
      <c r="G163" s="356"/>
      <c r="H163" s="356"/>
      <c r="I163" s="356"/>
      <c r="N163" s="78"/>
    </row>
    <row r="164" spans="1:14" s="76" customFormat="1" ht="15.75" customHeight="1" x14ac:dyDescent="0.2">
      <c r="A164" s="354" t="str">
        <f>'1461'!A164</f>
        <v xml:space="preserve">(j) Funding based on student eligibility and meals provided, if participating in the National School Lunch Program. </v>
      </c>
      <c r="B164" s="356"/>
      <c r="C164" s="356"/>
      <c r="D164" s="356"/>
      <c r="E164" s="356"/>
      <c r="F164" s="356"/>
      <c r="G164" s="356"/>
      <c r="H164" s="356"/>
      <c r="I164" s="356"/>
      <c r="N164" s="78"/>
    </row>
    <row r="165" spans="1:14" s="76" customFormat="1" ht="15.75" customHeight="1" x14ac:dyDescent="0.2">
      <c r="A165" s="354" t="s">
        <v>407</v>
      </c>
      <c r="B165" s="356"/>
      <c r="C165" s="356"/>
      <c r="D165" s="356"/>
      <c r="E165" s="356"/>
      <c r="F165" s="356"/>
      <c r="G165" s="356"/>
      <c r="H165" s="356"/>
      <c r="I165" s="356"/>
      <c r="N165" s="78"/>
    </row>
    <row r="166" spans="1:14" s="76" customFormat="1" ht="15.75" customHeight="1" x14ac:dyDescent="0.2">
      <c r="A166" s="360" t="s">
        <v>406</v>
      </c>
      <c r="B166" s="356"/>
      <c r="C166" s="356"/>
      <c r="D166" s="356"/>
      <c r="E166" s="356"/>
      <c r="F166" s="356"/>
      <c r="G166" s="356"/>
      <c r="H166" s="356"/>
      <c r="I166" s="356"/>
      <c r="N166" s="78"/>
    </row>
    <row r="167" spans="1:14" s="76" customFormat="1" ht="15.75" customHeight="1" x14ac:dyDescent="0.2">
      <c r="A167" s="354" t="s">
        <v>408</v>
      </c>
      <c r="B167" s="356"/>
      <c r="C167" s="356"/>
      <c r="D167" s="356"/>
      <c r="E167" s="356"/>
      <c r="F167" s="356"/>
      <c r="G167" s="356"/>
      <c r="H167" s="356"/>
      <c r="I167" s="356"/>
      <c r="N167" s="78"/>
    </row>
    <row r="168" spans="1:14" s="76" customFormat="1" ht="15.75" customHeight="1" x14ac:dyDescent="0.2">
      <c r="A168" s="360"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54" t="s">
        <v>410</v>
      </c>
      <c r="B169" s="356"/>
      <c r="C169" s="356"/>
      <c r="D169" s="356"/>
      <c r="E169" s="356"/>
      <c r="F169" s="356"/>
      <c r="G169" s="356"/>
      <c r="H169" s="356"/>
      <c r="I169" s="356"/>
      <c r="N169" s="78"/>
    </row>
    <row r="170" spans="1:14" s="76" customFormat="1" ht="15.75" customHeight="1" x14ac:dyDescent="0.2">
      <c r="A170" s="360" t="s">
        <v>409</v>
      </c>
      <c r="B170" s="356"/>
      <c r="C170" s="356"/>
      <c r="D170" s="356"/>
      <c r="E170" s="356"/>
      <c r="F170" s="356"/>
      <c r="G170" s="356"/>
      <c r="H170" s="356"/>
      <c r="I170" s="356"/>
      <c r="N170" s="78"/>
    </row>
    <row r="171" spans="1:14" s="76" customFormat="1" ht="15.75" customHeight="1" x14ac:dyDescent="0.2">
      <c r="A171" s="354"/>
      <c r="B171" s="356"/>
      <c r="C171" s="356"/>
      <c r="D171" s="356"/>
      <c r="E171" s="356"/>
      <c r="F171" s="356"/>
      <c r="G171" s="356"/>
      <c r="H171" s="356"/>
      <c r="I171" s="356"/>
      <c r="N171" s="78"/>
    </row>
    <row r="172" spans="1:14" s="76" customFormat="1" ht="15.75" customHeight="1" x14ac:dyDescent="0.25">
      <c r="A172" s="367" t="str">
        <f>'1461'!A172</f>
        <v>Administrative fees:</v>
      </c>
      <c r="B172" s="356"/>
      <c r="C172" s="356"/>
      <c r="D172" s="356"/>
      <c r="E172" s="356"/>
      <c r="F172" s="356"/>
      <c r="G172" s="356"/>
      <c r="H172" s="356"/>
      <c r="I172" s="356"/>
      <c r="J172" s="3"/>
      <c r="K172" s="3"/>
      <c r="L172" s="3"/>
      <c r="M172" s="3"/>
      <c r="N172" s="78"/>
    </row>
    <row r="173" spans="1:14" s="76" customFormat="1" ht="15.75" customHeight="1" x14ac:dyDescent="0.25">
      <c r="A173" s="371" t="str">
        <f>'1461'!A173</f>
        <v xml:space="preserve">Administrative fees charged by the school district pursuant to s. 1002.33(20)(a), F.S., shall be calculated based upon 5% of available funds from the FEFP and categorical </v>
      </c>
      <c r="B173" s="359"/>
      <c r="C173" s="359"/>
      <c r="D173" s="359"/>
      <c r="E173" s="359"/>
      <c r="F173" s="359"/>
      <c r="G173" s="359"/>
      <c r="H173" s="359"/>
      <c r="I173" s="359"/>
      <c r="J173" s="3"/>
      <c r="K173" s="3"/>
      <c r="L173" s="3"/>
      <c r="M173" s="3"/>
      <c r="N173" s="78"/>
    </row>
    <row r="174" spans="1:14" s="76" customFormat="1" ht="15.75" customHeight="1" x14ac:dyDescent="0.25">
      <c r="A174" s="372" t="str">
        <f>'1461'!A174</f>
        <v>funding for which charter students may be eligible.  To calculate the administrative fee to be withheld for schools with more than 250 students, divide the school</v>
      </c>
      <c r="B174" s="366"/>
      <c r="C174" s="366"/>
      <c r="D174" s="366"/>
      <c r="E174" s="366"/>
      <c r="F174" s="366"/>
      <c r="G174" s="366"/>
      <c r="H174" s="366"/>
      <c r="I174" s="366"/>
      <c r="J174" s="3"/>
      <c r="K174" s="3"/>
      <c r="L174" s="3"/>
      <c r="M174" s="3"/>
      <c r="N174" s="78"/>
    </row>
    <row r="175" spans="1:14" s="76" customFormat="1" ht="15.75" customHeight="1" x14ac:dyDescent="0.25">
      <c r="A175" s="372" t="s">
        <v>411</v>
      </c>
      <c r="B175" s="366"/>
      <c r="C175" s="366"/>
      <c r="D175" s="366"/>
      <c r="E175" s="366"/>
      <c r="F175" s="366"/>
      <c r="G175" s="366"/>
      <c r="H175" s="366"/>
      <c r="I175" s="366"/>
      <c r="J175" s="3"/>
      <c r="K175" s="3"/>
      <c r="L175" s="3"/>
      <c r="M175" s="3"/>
      <c r="N175" s="78"/>
    </row>
    <row r="176" spans="1:14" s="76" customFormat="1" ht="15.75" customHeight="1" x14ac:dyDescent="0.2">
      <c r="A176" s="372" t="s">
        <v>412</v>
      </c>
      <c r="B176" s="366"/>
      <c r="C176" s="366"/>
      <c r="D176" s="366"/>
      <c r="E176" s="366"/>
      <c r="F176" s="366"/>
      <c r="G176" s="366"/>
      <c r="H176" s="366"/>
      <c r="I176" s="366"/>
      <c r="N176" s="78"/>
    </row>
    <row r="177" spans="1:21" s="76" customFormat="1" ht="15.75" customHeight="1" x14ac:dyDescent="0.2">
      <c r="A177" s="371"/>
      <c r="B177" s="366"/>
      <c r="C177" s="366"/>
      <c r="D177" s="366"/>
      <c r="E177" s="366"/>
      <c r="F177" s="366"/>
      <c r="G177" s="366"/>
      <c r="H177" s="366"/>
      <c r="I177" s="366"/>
      <c r="N177" s="78"/>
    </row>
    <row r="178" spans="1:21" ht="15.75" customHeight="1" x14ac:dyDescent="0.25">
      <c r="A178" s="371" t="str">
        <f>'1461'!A178</f>
        <v xml:space="preserve">For high performing charter schools, administrative fees charged by the school district shall be calculated based upon 2% of available funds from the FEFP and categorical </v>
      </c>
      <c r="B178" s="359"/>
      <c r="C178" s="359"/>
      <c r="D178" s="359"/>
      <c r="E178" s="359"/>
      <c r="F178" s="359"/>
      <c r="G178" s="359"/>
      <c r="H178" s="359"/>
      <c r="I178" s="359"/>
      <c r="J178" s="76"/>
      <c r="K178" s="76"/>
      <c r="L178" s="76"/>
      <c r="M178" s="76"/>
      <c r="N178" s="78"/>
      <c r="O178" s="76"/>
      <c r="P178" s="76"/>
      <c r="Q178" s="76"/>
      <c r="R178" s="76"/>
      <c r="S178" s="76"/>
      <c r="T178" s="76"/>
      <c r="U178" s="76"/>
    </row>
    <row r="179" spans="1:21" ht="15.75" customHeight="1" x14ac:dyDescent="0.25">
      <c r="A179" s="372" t="str">
        <f>'1461'!A179</f>
        <v>funding for which charter students may be eligible.  To calculate the administrative fee to be withheld for schools with more than 250 students, divide the school</v>
      </c>
      <c r="B179" s="359"/>
      <c r="C179" s="359"/>
      <c r="D179" s="359"/>
      <c r="E179" s="359"/>
      <c r="F179" s="359"/>
      <c r="G179" s="359"/>
      <c r="H179" s="359"/>
      <c r="I179" s="359"/>
      <c r="J179" s="76"/>
      <c r="K179" s="76"/>
      <c r="L179" s="76"/>
      <c r="M179" s="76"/>
      <c r="N179" s="74"/>
    </row>
    <row r="180" spans="1:21" s="76" customFormat="1" ht="15.75" customHeight="1" x14ac:dyDescent="0.25">
      <c r="A180" s="372" t="str">
        <f>'1461'!A180</f>
        <v xml:space="preserve">population into 250. Multiply that fraction times the funds available, then times 2%.  </v>
      </c>
      <c r="B180" s="359"/>
      <c r="C180" s="359"/>
      <c r="D180" s="359"/>
      <c r="E180" s="359"/>
      <c r="F180" s="359"/>
      <c r="G180" s="359"/>
      <c r="H180" s="359"/>
      <c r="I180" s="359"/>
      <c r="N180" s="74"/>
      <c r="O180" s="3"/>
      <c r="P180" s="3"/>
      <c r="Q180" s="3"/>
      <c r="R180" s="3"/>
      <c r="S180" s="3"/>
      <c r="T180" s="3"/>
      <c r="U180" s="3"/>
    </row>
    <row r="181" spans="1:21" x14ac:dyDescent="0.25">
      <c r="A181" s="354"/>
      <c r="B181" s="359"/>
      <c r="C181" s="359"/>
      <c r="D181" s="359"/>
      <c r="E181" s="359"/>
      <c r="F181" s="359"/>
      <c r="G181" s="359"/>
      <c r="H181" s="359"/>
      <c r="I181" s="359"/>
      <c r="N181" s="78"/>
      <c r="O181" s="76"/>
      <c r="P181" s="76"/>
      <c r="Q181" s="76"/>
      <c r="R181" s="76"/>
      <c r="S181" s="76"/>
      <c r="T181" s="76"/>
      <c r="U181" s="76"/>
    </row>
    <row r="182" spans="1:21" x14ac:dyDescent="0.25">
      <c r="A182" s="367" t="str">
        <f>'1461'!A182</f>
        <v>Other:</v>
      </c>
      <c r="B182" s="365"/>
      <c r="C182" s="365"/>
      <c r="D182" s="365"/>
      <c r="E182" s="365"/>
      <c r="F182" s="365"/>
      <c r="G182" s="365"/>
      <c r="H182" s="365"/>
      <c r="I182" s="365"/>
      <c r="N182" s="78"/>
      <c r="O182" s="76"/>
      <c r="P182" s="76"/>
      <c r="Q182" s="76"/>
      <c r="R182" s="76"/>
      <c r="S182" s="76"/>
      <c r="T182" s="76"/>
      <c r="U182" s="76"/>
    </row>
    <row r="183" spans="1:21" x14ac:dyDescent="0.25">
      <c r="A183" s="371" t="str">
        <f>'1461'!A183</f>
        <v>FEFP and categorical funding are recalculated during the year to reflect the revised number of full-time equivalent students reported during the survey periods designated</v>
      </c>
      <c r="B183" s="359"/>
      <c r="C183" s="359"/>
      <c r="D183" s="359"/>
      <c r="E183" s="359"/>
      <c r="F183" s="359"/>
      <c r="G183" s="359"/>
      <c r="H183" s="359"/>
      <c r="I183" s="359"/>
      <c r="N183" s="78"/>
      <c r="O183" s="76"/>
      <c r="P183" s="76"/>
      <c r="Q183" s="76"/>
      <c r="R183" s="76"/>
      <c r="S183" s="76"/>
      <c r="T183" s="76"/>
      <c r="U183" s="76"/>
    </row>
    <row r="184" spans="1:21" x14ac:dyDescent="0.25">
      <c r="A184" s="372" t="str">
        <f>'1461'!A184</f>
        <v>by the Commissioner of Education.</v>
      </c>
      <c r="B184" s="366"/>
      <c r="C184" s="366"/>
      <c r="D184" s="366"/>
      <c r="E184" s="366"/>
      <c r="F184" s="366"/>
      <c r="G184" s="366"/>
      <c r="H184" s="366"/>
      <c r="I184" s="366"/>
      <c r="N184" s="74"/>
    </row>
    <row r="185" spans="1:21" x14ac:dyDescent="0.25">
      <c r="A185" s="371" t="str">
        <f>'1461'!A185</f>
        <v>Revenues flow to districts from state sources and from county tax collectors on various distribution schedules.</v>
      </c>
      <c r="B185" s="359"/>
      <c r="C185" s="359"/>
      <c r="D185" s="359"/>
      <c r="E185" s="359"/>
      <c r="F185" s="359"/>
      <c r="G185" s="359"/>
      <c r="H185" s="359"/>
      <c r="I185" s="359"/>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topLeftCell="A25"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386</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133.32</v>
      </c>
      <c r="D14" s="141">
        <v>129.69999999999999</v>
      </c>
      <c r="E14" s="187">
        <f>IF(D$30=0,C14*2,C14+D14)</f>
        <v>263.02</v>
      </c>
      <c r="F14" s="687">
        <f>'1461'!F14:G14</f>
        <v>1.1220000000000001</v>
      </c>
      <c r="G14" s="687"/>
      <c r="H14" s="145">
        <f>ROUND(E14*F14,4)</f>
        <v>295.10840000000002</v>
      </c>
      <c r="I14" s="111">
        <f>ROUND(ROUND(ROUND(H14*$C$8,4)*($H$8),2)*(MAX($H$9,1)),2)</f>
        <v>1583819.06</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20.5</v>
      </c>
      <c r="D15" s="143">
        <v>23.01</v>
      </c>
      <c r="E15" s="116">
        <f t="shared" ref="E15:E29" si="1">IF(D$30=0,C15*2,C15+D15)</f>
        <v>43.510000000000005</v>
      </c>
      <c r="F15" s="679">
        <f>'1461'!F15:G15</f>
        <v>1.1220000000000001</v>
      </c>
      <c r="G15" s="679"/>
      <c r="H15" s="80">
        <f t="shared" ref="H15:H29" si="2">ROUND(E15*F15,4)</f>
        <v>48.818199999999997</v>
      </c>
      <c r="I15" s="101">
        <f t="shared" ref="I15:I29" si="3">ROUND(ROUND(ROUND(H15*$C$8,4)*($H$8),2)*(MAX($H$9,1)),2)</f>
        <v>262002.69</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58.41</v>
      </c>
      <c r="D16" s="143">
        <v>57.08</v>
      </c>
      <c r="E16" s="116">
        <f t="shared" si="1"/>
        <v>115.49</v>
      </c>
      <c r="F16" s="679">
        <f>'1461'!F16:G16</f>
        <v>1</v>
      </c>
      <c r="G16" s="679"/>
      <c r="H16" s="80">
        <f t="shared" si="2"/>
        <v>115.49</v>
      </c>
      <c r="I16" s="101">
        <f t="shared" si="3"/>
        <v>619823.98</v>
      </c>
      <c r="N16" s="621" t="s">
        <v>22</v>
      </c>
      <c r="O16" s="621"/>
      <c r="P16" s="662">
        <f t="shared" si="0"/>
        <v>0</v>
      </c>
      <c r="Q16" s="662"/>
      <c r="R16" s="667">
        <v>1</v>
      </c>
      <c r="S16" s="667"/>
      <c r="T16" s="95">
        <f t="shared" si="4"/>
        <v>0</v>
      </c>
      <c r="U16" s="486">
        <f t="shared" si="5"/>
        <v>0</v>
      </c>
    </row>
    <row r="17" spans="1:21" x14ac:dyDescent="0.25">
      <c r="A17" s="596" t="s">
        <v>23</v>
      </c>
      <c r="B17" s="596"/>
      <c r="C17" s="143">
        <v>19.989999999999998</v>
      </c>
      <c r="D17" s="143">
        <v>18.989999999999998</v>
      </c>
      <c r="E17" s="116">
        <f t="shared" si="1"/>
        <v>38.979999999999997</v>
      </c>
      <c r="F17" s="679">
        <f>'1461'!F17:G17</f>
        <v>1</v>
      </c>
      <c r="G17" s="679"/>
      <c r="H17" s="80">
        <f t="shared" si="2"/>
        <v>38.979999999999997</v>
      </c>
      <c r="I17" s="101">
        <f t="shared" si="3"/>
        <v>209202</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50.55</v>
      </c>
      <c r="D26" s="143">
        <v>52.3</v>
      </c>
      <c r="E26" s="116">
        <f t="shared" si="1"/>
        <v>102.85</v>
      </c>
      <c r="F26" s="679">
        <f>'1461'!F26:G26</f>
        <v>1.208</v>
      </c>
      <c r="G26" s="679"/>
      <c r="H26" s="80">
        <f t="shared" si="2"/>
        <v>124.2428</v>
      </c>
      <c r="I26" s="101">
        <f t="shared" si="3"/>
        <v>666799.43999999994</v>
      </c>
      <c r="N26" s="621" t="s">
        <v>85</v>
      </c>
      <c r="O26" s="621"/>
      <c r="P26" s="662">
        <f t="shared" si="0"/>
        <v>0</v>
      </c>
      <c r="Q26" s="662"/>
      <c r="R26" s="667">
        <v>1</v>
      </c>
      <c r="S26" s="667"/>
      <c r="T26" s="95">
        <f t="shared" si="4"/>
        <v>0</v>
      </c>
      <c r="U26" s="486">
        <f t="shared" si="5"/>
        <v>0</v>
      </c>
    </row>
    <row r="27" spans="1:21" x14ac:dyDescent="0.25">
      <c r="A27" s="596" t="s">
        <v>86</v>
      </c>
      <c r="B27" s="596"/>
      <c r="C27" s="143">
        <v>12.53</v>
      </c>
      <c r="D27" s="143">
        <v>12.42</v>
      </c>
      <c r="E27" s="116">
        <f t="shared" si="1"/>
        <v>24.95</v>
      </c>
      <c r="F27" s="679">
        <f>'1461'!F27:G27</f>
        <v>1.208</v>
      </c>
      <c r="G27" s="679"/>
      <c r="H27" s="80">
        <f t="shared" si="2"/>
        <v>30.139600000000002</v>
      </c>
      <c r="I27" s="101">
        <f t="shared" si="3"/>
        <v>161756.4</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295.29999999999995</v>
      </c>
      <c r="D30" s="94">
        <f>SUM(D14:D29)</f>
        <v>293.5</v>
      </c>
      <c r="E30" s="94">
        <f>SUM(E14:E29)</f>
        <v>588.80000000000007</v>
      </c>
      <c r="F30" s="600"/>
      <c r="G30" s="600"/>
      <c r="H30" s="99">
        <f>SUM(H14:H29)</f>
        <v>652.779</v>
      </c>
      <c r="I30" s="94">
        <f>SUM(I14:I29)</f>
        <v>3503403.57</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652.779</v>
      </c>
      <c r="F46" s="34"/>
      <c r="G46" s="106"/>
      <c r="H46" s="107" t="s">
        <v>98</v>
      </c>
      <c r="I46" s="94">
        <f>SUM(I44,I30)</f>
        <v>3503403.57</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3526489.85</v>
      </c>
      <c r="G51" s="109" t="s">
        <v>6</v>
      </c>
      <c r="H51" s="415">
        <v>4.5199999999999997E-2</v>
      </c>
      <c r="I51" s="101">
        <f>ROUND(F51*H51,2)</f>
        <v>159397.34</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3526489.85</v>
      </c>
      <c r="G52" s="109" t="s">
        <v>6</v>
      </c>
      <c r="H52" s="415">
        <v>1.41E-2</v>
      </c>
      <c r="I52" s="101">
        <f>ROUND(F52*H52,2)</f>
        <v>49723.51</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209120.85</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18.5</v>
      </c>
      <c r="D57" s="143">
        <v>21.01</v>
      </c>
      <c r="E57" s="116">
        <f>IF(D$66=0,C57*2,C57+D57)</f>
        <v>39.510000000000005</v>
      </c>
      <c r="F57" s="456" t="s">
        <v>462</v>
      </c>
      <c r="G57" s="456">
        <v>251</v>
      </c>
      <c r="H57" s="470">
        <f>'1461'!H57</f>
        <v>1047</v>
      </c>
      <c r="I57" s="101">
        <f>ROUND(E57*H57,2)</f>
        <v>41366.97</v>
      </c>
      <c r="N57" s="638" t="s">
        <v>470</v>
      </c>
      <c r="O57" s="638"/>
      <c r="P57" s="641"/>
      <c r="Q57" s="641"/>
      <c r="R57" s="462" t="s">
        <v>462</v>
      </c>
      <c r="S57" s="462">
        <v>251</v>
      </c>
      <c r="T57" s="473">
        <f>H57</f>
        <v>1047</v>
      </c>
      <c r="U57" s="487">
        <f>ROUND(P57*T57,2)</f>
        <v>0</v>
      </c>
      <c r="V57" s="438"/>
    </row>
    <row r="58" spans="1:22" x14ac:dyDescent="0.25">
      <c r="A58" s="607"/>
      <c r="B58" s="607"/>
      <c r="C58" s="143">
        <v>2</v>
      </c>
      <c r="D58" s="143">
        <v>2</v>
      </c>
      <c r="E58" s="116">
        <f>IF(D$66=0,C58*2,C58+D58)</f>
        <v>4</v>
      </c>
      <c r="F58" s="456" t="s">
        <v>462</v>
      </c>
      <c r="G58" s="456">
        <v>252</v>
      </c>
      <c r="H58" s="470">
        <f>'1461'!H58</f>
        <v>3380</v>
      </c>
      <c r="I58" s="101">
        <f t="shared" ref="I58:I65" si="10">ROUND(E58*H58,2)</f>
        <v>13520</v>
      </c>
      <c r="N58" s="639"/>
      <c r="O58" s="639"/>
      <c r="P58" s="642"/>
      <c r="Q58" s="642"/>
      <c r="R58" s="462" t="s">
        <v>462</v>
      </c>
      <c r="S58" s="462">
        <v>252</v>
      </c>
      <c r="T58" s="473">
        <f t="shared" ref="T58:T65" si="11">H58</f>
        <v>3380</v>
      </c>
      <c r="U58" s="487">
        <f t="shared" ref="U58:U65" si="12">ROUND(P58*T58,2)</f>
        <v>0</v>
      </c>
      <c r="V58" s="438"/>
    </row>
    <row r="59" spans="1:22" x14ac:dyDescent="0.25">
      <c r="A59" s="607"/>
      <c r="B59" s="607"/>
      <c r="C59" s="143">
        <v>0</v>
      </c>
      <c r="D59" s="143">
        <v>0</v>
      </c>
      <c r="E59" s="116">
        <f>IF(D$66=0,C59*2,C59+D59)</f>
        <v>0</v>
      </c>
      <c r="F59" s="456" t="s">
        <v>462</v>
      </c>
      <c r="G59" s="456">
        <v>253</v>
      </c>
      <c r="H59" s="470">
        <f>'1461'!H59</f>
        <v>6896</v>
      </c>
      <c r="I59" s="101">
        <f t="shared" si="10"/>
        <v>0</v>
      </c>
      <c r="N59" s="639"/>
      <c r="O59" s="639"/>
      <c r="P59" s="642"/>
      <c r="Q59" s="642"/>
      <c r="R59" s="462" t="s">
        <v>462</v>
      </c>
      <c r="S59" s="462">
        <v>253</v>
      </c>
      <c r="T59" s="473">
        <f t="shared" si="11"/>
        <v>6896</v>
      </c>
      <c r="U59" s="487">
        <f t="shared" si="12"/>
        <v>0</v>
      </c>
      <c r="V59" s="438"/>
    </row>
    <row r="60" spans="1:22" x14ac:dyDescent="0.25">
      <c r="A60" s="607"/>
      <c r="B60" s="607"/>
      <c r="C60" s="143">
        <v>18.989999999999998</v>
      </c>
      <c r="D60" s="143">
        <v>18.989999999999998</v>
      </c>
      <c r="E60" s="116">
        <f>IF(D$66=0,C60*2,C60+D60)</f>
        <v>37.979999999999997</v>
      </c>
      <c r="F60" s="457" t="s">
        <v>13</v>
      </c>
      <c r="G60" s="456">
        <v>251</v>
      </c>
      <c r="H60" s="470">
        <f>'1461'!H60</f>
        <v>1173</v>
      </c>
      <c r="I60" s="101">
        <f t="shared" si="10"/>
        <v>44550.54</v>
      </c>
      <c r="N60" s="639"/>
      <c r="O60" s="639"/>
      <c r="P60" s="642"/>
      <c r="Q60" s="642"/>
      <c r="R60" s="40" t="s">
        <v>13</v>
      </c>
      <c r="S60" s="462">
        <v>251</v>
      </c>
      <c r="T60" s="473">
        <f t="shared" si="11"/>
        <v>1173</v>
      </c>
      <c r="U60" s="487">
        <f t="shared" si="12"/>
        <v>0</v>
      </c>
      <c r="V60" s="438"/>
    </row>
    <row r="61" spans="1:22" x14ac:dyDescent="0.25">
      <c r="A61" s="607"/>
      <c r="B61" s="607"/>
      <c r="C61" s="143">
        <v>1</v>
      </c>
      <c r="D61" s="143">
        <v>0</v>
      </c>
      <c r="E61" s="116">
        <f>IF(D$66=0,C61*2,C61+D61)</f>
        <v>1</v>
      </c>
      <c r="F61" s="457" t="s">
        <v>13</v>
      </c>
      <c r="G61" s="456">
        <v>252</v>
      </c>
      <c r="H61" s="470">
        <f>'1461'!H61</f>
        <v>3506</v>
      </c>
      <c r="I61" s="101">
        <f t="shared" si="10"/>
        <v>3506</v>
      </c>
      <c r="N61" s="639"/>
      <c r="O61" s="639"/>
      <c r="P61" s="642"/>
      <c r="Q61" s="642"/>
      <c r="R61" s="40" t="s">
        <v>13</v>
      </c>
      <c r="S61" s="462">
        <v>252</v>
      </c>
      <c r="T61" s="473">
        <f t="shared" si="11"/>
        <v>3506</v>
      </c>
      <c r="U61" s="487">
        <f t="shared" si="12"/>
        <v>0</v>
      </c>
      <c r="V61" s="438"/>
    </row>
    <row r="62" spans="1:22" x14ac:dyDescent="0.25">
      <c r="A62" s="607"/>
      <c r="B62" s="607"/>
      <c r="C62" s="143">
        <v>0</v>
      </c>
      <c r="D62" s="143">
        <v>0</v>
      </c>
      <c r="E62" s="116">
        <f t="shared" ref="E62:E65" si="13">IF(D$72=0,C62*2,C62+D62)</f>
        <v>0</v>
      </c>
      <c r="F62" s="457" t="s">
        <v>13</v>
      </c>
      <c r="G62" s="456">
        <v>253</v>
      </c>
      <c r="H62" s="470">
        <f>'1461'!H62</f>
        <v>7023</v>
      </c>
      <c r="I62" s="101">
        <f t="shared" si="10"/>
        <v>0</v>
      </c>
      <c r="N62" s="639"/>
      <c r="O62" s="639"/>
      <c r="P62" s="642"/>
      <c r="Q62" s="642"/>
      <c r="R62" s="40" t="s">
        <v>13</v>
      </c>
      <c r="S62" s="462">
        <v>253</v>
      </c>
      <c r="T62" s="473">
        <f t="shared" si="11"/>
        <v>7023</v>
      </c>
      <c r="U62" s="487">
        <f t="shared" si="12"/>
        <v>0</v>
      </c>
      <c r="V62" s="438"/>
    </row>
    <row r="63" spans="1:22" x14ac:dyDescent="0.25">
      <c r="A63" s="607"/>
      <c r="B63" s="607"/>
      <c r="C63" s="143">
        <v>0</v>
      </c>
      <c r="D63" s="143">
        <v>0</v>
      </c>
      <c r="E63" s="116">
        <f t="shared" si="13"/>
        <v>0</v>
      </c>
      <c r="F63" s="457" t="s">
        <v>14</v>
      </c>
      <c r="G63" s="456">
        <v>251</v>
      </c>
      <c r="H63" s="470">
        <f>'1461'!H63</f>
        <v>835</v>
      </c>
      <c r="I63" s="101">
        <f t="shared" si="10"/>
        <v>0</v>
      </c>
      <c r="N63" s="639"/>
      <c r="O63" s="639"/>
      <c r="P63" s="642"/>
      <c r="Q63" s="642"/>
      <c r="R63" s="40" t="s">
        <v>14</v>
      </c>
      <c r="S63" s="462">
        <v>251</v>
      </c>
      <c r="T63" s="473">
        <f t="shared" si="11"/>
        <v>835</v>
      </c>
      <c r="U63" s="487">
        <f t="shared" si="12"/>
        <v>0</v>
      </c>
      <c r="V63" s="438"/>
    </row>
    <row r="64" spans="1:22" x14ac:dyDescent="0.25">
      <c r="A64" s="607"/>
      <c r="B64" s="607"/>
      <c r="C64" s="143">
        <v>0</v>
      </c>
      <c r="D64" s="143">
        <v>0</v>
      </c>
      <c r="E64" s="116">
        <f t="shared" si="13"/>
        <v>0</v>
      </c>
      <c r="F64" s="457" t="s">
        <v>14</v>
      </c>
      <c r="G64" s="456">
        <v>252</v>
      </c>
      <c r="H64" s="470">
        <f>'1461'!H64</f>
        <v>3168</v>
      </c>
      <c r="I64" s="101">
        <f t="shared" si="10"/>
        <v>0</v>
      </c>
      <c r="N64" s="639"/>
      <c r="O64" s="639"/>
      <c r="P64" s="642"/>
      <c r="Q64" s="642"/>
      <c r="R64" s="40" t="s">
        <v>14</v>
      </c>
      <c r="S64" s="462">
        <v>252</v>
      </c>
      <c r="T64" s="473">
        <f t="shared" si="11"/>
        <v>3168</v>
      </c>
      <c r="U64" s="487">
        <f t="shared" si="12"/>
        <v>0</v>
      </c>
      <c r="V64" s="438"/>
    </row>
    <row r="65" spans="1:22" ht="16.5" thickBot="1" x14ac:dyDescent="0.3">
      <c r="A65" s="607"/>
      <c r="B65" s="607"/>
      <c r="C65" s="143">
        <v>0</v>
      </c>
      <c r="D65" s="143">
        <v>0</v>
      </c>
      <c r="E65" s="116">
        <f t="shared" si="13"/>
        <v>0</v>
      </c>
      <c r="F65" s="457" t="s">
        <v>14</v>
      </c>
      <c r="G65" s="456">
        <v>253</v>
      </c>
      <c r="H65" s="470">
        <f>'1461'!H65</f>
        <v>6685</v>
      </c>
      <c r="I65" s="101">
        <f t="shared" si="10"/>
        <v>0</v>
      </c>
      <c r="N65" s="639"/>
      <c r="O65" s="639"/>
      <c r="P65" s="643"/>
      <c r="Q65" s="643"/>
      <c r="R65" s="40" t="s">
        <v>14</v>
      </c>
      <c r="S65" s="462">
        <v>253</v>
      </c>
      <c r="T65" s="473">
        <f t="shared" si="11"/>
        <v>6685</v>
      </c>
      <c r="U65" s="488">
        <f t="shared" si="12"/>
        <v>0</v>
      </c>
      <c r="V65" s="438"/>
    </row>
    <row r="66" spans="1:22" ht="16.5" thickBot="1" x14ac:dyDescent="0.3">
      <c r="A66" s="453"/>
      <c r="C66" s="97">
        <f>SUM(C57:C65)</f>
        <v>40.489999999999995</v>
      </c>
      <c r="D66" s="97">
        <f>SUM(D57:D65)</f>
        <v>42</v>
      </c>
      <c r="E66" s="97">
        <f>SUM(E57:E65)</f>
        <v>82.490000000000009</v>
      </c>
      <c r="F66" s="608" t="s">
        <v>471</v>
      </c>
      <c r="G66" s="608"/>
      <c r="H66" s="608"/>
      <c r="I66" s="97">
        <f>SUM(I57:I65)</f>
        <v>102943.51000000001</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588.80000000000007</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2.905E-3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652.779</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2.862E-3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588.80000000000007</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3.153E-3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588.80000000000007</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2.9099999999999998E-3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588.80000000000007</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3.1589999999999999E-3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2.9099999999999998E-3</v>
      </c>
      <c r="I85" s="101">
        <f>ROUND(F85*H85,2)</f>
        <v>129502.7</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2.905E-3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3.1589999999999999E-3</v>
      </c>
      <c r="I90" s="101">
        <f>ROUND(F90*H90,2)</f>
        <v>51520.66</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3.153E-3</v>
      </c>
      <c r="I92" s="101">
        <f t="shared" ref="I92:I96" si="14">ROUND(F92*H92,2)</f>
        <v>31998.71</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2.862E-3</v>
      </c>
      <c r="I94" s="101">
        <f t="shared" si="14"/>
        <v>684011.34</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2.862E-3</v>
      </c>
      <c r="I96" s="101">
        <f t="shared" si="14"/>
        <v>0</v>
      </c>
      <c r="N96" s="620" t="s">
        <v>446</v>
      </c>
      <c r="O96" s="621"/>
      <c r="P96" s="621"/>
      <c r="Q96" s="44"/>
      <c r="R96" s="433">
        <f t="shared" si="15"/>
        <v>0</v>
      </c>
      <c r="S96" s="38" t="s">
        <v>6</v>
      </c>
      <c r="T96" s="435">
        <f>T73</f>
        <v>0</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2.905E-3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468.1694</v>
      </c>
      <c r="D104" s="614"/>
      <c r="E104" s="46">
        <f>H8</f>
        <v>1.0442</v>
      </c>
      <c r="F104" s="302">
        <f>'1461'!F104</f>
        <v>947.59</v>
      </c>
      <c r="G104" s="39" t="s">
        <v>12</v>
      </c>
      <c r="H104" s="101">
        <f>ROUND(C104*E104*F104,2)</f>
        <v>463241.2</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184.6096</v>
      </c>
      <c r="D105" s="614"/>
      <c r="E105" s="46">
        <f>H8</f>
        <v>1.0442</v>
      </c>
      <c r="F105" s="302">
        <f>'1461'!F105</f>
        <v>904.74</v>
      </c>
      <c r="G105" s="39" t="s">
        <v>12</v>
      </c>
      <c r="H105" s="101">
        <f>ROUND(C105*E105*F105,2)</f>
        <v>174406.14</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652.779</v>
      </c>
      <c r="D107" s="604"/>
      <c r="E107" s="123"/>
      <c r="F107" s="123"/>
      <c r="G107" s="123"/>
      <c r="H107" s="124" t="s">
        <v>100</v>
      </c>
      <c r="I107" s="101">
        <f>IF(A1=75,0,H106+H105+H104)</f>
        <v>637647.34000000008</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203</v>
      </c>
      <c r="D113" s="143">
        <v>201</v>
      </c>
      <c r="E113" s="116">
        <f>(C113+D113)/2</f>
        <v>202</v>
      </c>
      <c r="F113" s="126" t="s">
        <v>30</v>
      </c>
      <c r="G113" s="303">
        <f>'1461'!G113</f>
        <v>536</v>
      </c>
      <c r="I113" s="101">
        <f>ROUND(G113*E113,2)</f>
        <v>108272</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5249299.83</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5040178.9800000004</v>
      </c>
      <c r="N130" s="620"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5040178.9800000004</v>
      </c>
      <c r="I135" s="94">
        <f>ROUND(IF(E30=0,0,IF(E30&gt;250,-(((250/E30)*H135)*IF(G135="H",0.02,0.05)),IF(G135="H",-0.02*H135,-0.05*H135))),2)</f>
        <v>-107001.08</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5142298.75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-5149077.5899999989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-6778.8399999989197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-6778.84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145007.86900000001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114</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94.84</v>
      </c>
      <c r="D14" s="143">
        <v>93.79</v>
      </c>
      <c r="E14" s="187">
        <f>IF(D$30=0,C14*2,C14+D14)</f>
        <v>188.63</v>
      </c>
      <c r="F14" s="687">
        <f>'1461'!F14:G14</f>
        <v>1.1220000000000001</v>
      </c>
      <c r="G14" s="687"/>
      <c r="H14" s="145">
        <f>ROUND(E14*F14,4)</f>
        <v>211.6429</v>
      </c>
      <c r="I14" s="111">
        <f>ROUND(ROUND(ROUND(H14*$C$8,4)*($H$8),2)*(MAX($H$9,1)),2)</f>
        <v>1135867.56</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21</v>
      </c>
      <c r="D15" s="143">
        <v>22</v>
      </c>
      <c r="E15" s="116">
        <f t="shared" ref="E15:E29" si="1">IF(D$30=0,C15*2,C15+D15)</f>
        <v>43</v>
      </c>
      <c r="F15" s="679">
        <f>'1461'!F15:G15</f>
        <v>1.1220000000000001</v>
      </c>
      <c r="G15" s="679"/>
      <c r="H15" s="80">
        <f t="shared" ref="H15:H29" si="2">ROUND(E15*F15,4)</f>
        <v>48.246000000000002</v>
      </c>
      <c r="I15" s="101">
        <f t="shared" ref="I15:I29" si="3">ROUND(ROUND(ROUND(H15*$C$8,4)*($H$8),2)*(MAX($H$9,1)),2)</f>
        <v>258931.75</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153.61000000000001</v>
      </c>
      <c r="D16" s="143">
        <v>156.29</v>
      </c>
      <c r="E16" s="116">
        <f t="shared" si="1"/>
        <v>309.89999999999998</v>
      </c>
      <c r="F16" s="679">
        <f>'1461'!F16:G16</f>
        <v>1</v>
      </c>
      <c r="G16" s="679"/>
      <c r="H16" s="80">
        <f t="shared" si="2"/>
        <v>309.89999999999998</v>
      </c>
      <c r="I16" s="101">
        <f t="shared" si="3"/>
        <v>1663204.19</v>
      </c>
      <c r="N16" s="621" t="s">
        <v>22</v>
      </c>
      <c r="O16" s="621"/>
      <c r="P16" s="662">
        <f t="shared" si="0"/>
        <v>0</v>
      </c>
      <c r="Q16" s="662"/>
      <c r="R16" s="667">
        <v>1</v>
      </c>
      <c r="S16" s="667"/>
      <c r="T16" s="95">
        <f t="shared" si="4"/>
        <v>0</v>
      </c>
      <c r="U16" s="486">
        <f t="shared" si="5"/>
        <v>0</v>
      </c>
    </row>
    <row r="17" spans="1:21" x14ac:dyDescent="0.25">
      <c r="A17" s="596" t="s">
        <v>23</v>
      </c>
      <c r="B17" s="596"/>
      <c r="C17" s="143">
        <v>43.77</v>
      </c>
      <c r="D17" s="143">
        <v>41.89</v>
      </c>
      <c r="E17" s="116">
        <f t="shared" si="1"/>
        <v>85.66</v>
      </c>
      <c r="F17" s="679">
        <f>'1461'!F17:G17</f>
        <v>1</v>
      </c>
      <c r="G17" s="679"/>
      <c r="H17" s="80">
        <f t="shared" si="2"/>
        <v>85.66</v>
      </c>
      <c r="I17" s="101">
        <f t="shared" si="3"/>
        <v>459729.17</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6.84</v>
      </c>
      <c r="D26" s="143">
        <v>6.45</v>
      </c>
      <c r="E26" s="116">
        <f t="shared" si="1"/>
        <v>13.29</v>
      </c>
      <c r="F26" s="679">
        <f>'1461'!F26:G26</f>
        <v>1.208</v>
      </c>
      <c r="G26" s="679"/>
      <c r="H26" s="80">
        <f t="shared" si="2"/>
        <v>16.054300000000001</v>
      </c>
      <c r="I26" s="101">
        <f t="shared" si="3"/>
        <v>86161.919999999998</v>
      </c>
      <c r="N26" s="621" t="s">
        <v>85</v>
      </c>
      <c r="O26" s="621"/>
      <c r="P26" s="662">
        <f t="shared" si="0"/>
        <v>0</v>
      </c>
      <c r="Q26" s="662"/>
      <c r="R26" s="667">
        <v>1</v>
      </c>
      <c r="S26" s="667"/>
      <c r="T26" s="95">
        <f t="shared" si="4"/>
        <v>0</v>
      </c>
      <c r="U26" s="486">
        <f t="shared" si="5"/>
        <v>0</v>
      </c>
    </row>
    <row r="27" spans="1:21" x14ac:dyDescent="0.25">
      <c r="A27" s="596" t="s">
        <v>86</v>
      </c>
      <c r="B27" s="596"/>
      <c r="C27" s="143">
        <v>2.41</v>
      </c>
      <c r="D27" s="143">
        <v>0.97</v>
      </c>
      <c r="E27" s="116">
        <f t="shared" si="1"/>
        <v>3.38</v>
      </c>
      <c r="F27" s="679">
        <f>'1461'!F27:G27</f>
        <v>1.208</v>
      </c>
      <c r="G27" s="679"/>
      <c r="H27" s="80">
        <f t="shared" si="2"/>
        <v>4.0830000000000002</v>
      </c>
      <c r="I27" s="101">
        <f t="shared" si="3"/>
        <v>21913.08</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322.47000000000003</v>
      </c>
      <c r="D30" s="94">
        <f>SUM(D14:D29)</f>
        <v>321.39</v>
      </c>
      <c r="E30" s="94">
        <f>SUM(E14:E29)</f>
        <v>643.8599999999999</v>
      </c>
      <c r="F30" s="600"/>
      <c r="G30" s="600"/>
      <c r="H30" s="99">
        <f>SUM(H14:H29)</f>
        <v>675.58619999999996</v>
      </c>
      <c r="I30" s="94">
        <f>SUM(I14:I29)</f>
        <v>3625807.67</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675.58619999999996</v>
      </c>
      <c r="F46" s="34"/>
      <c r="G46" s="106"/>
      <c r="H46" s="107" t="s">
        <v>98</v>
      </c>
      <c r="I46" s="94">
        <f>SUM(I44,I30)</f>
        <v>3625807.67</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3243417.2400000007</v>
      </c>
      <c r="G51" s="109" t="s">
        <v>6</v>
      </c>
      <c r="H51" s="415">
        <v>4.5199999999999997E-2</v>
      </c>
      <c r="I51" s="101">
        <f>ROUND(F51*H51,2)</f>
        <v>146602.46</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3243417.2400000007</v>
      </c>
      <c r="G52" s="109" t="s">
        <v>6</v>
      </c>
      <c r="H52" s="415">
        <v>1.41E-2</v>
      </c>
      <c r="I52" s="101">
        <f>ROUND(F52*H52,2)</f>
        <v>45732.18</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192334.63999999998</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19</v>
      </c>
      <c r="D57" s="143">
        <v>19.59</v>
      </c>
      <c r="E57" s="116">
        <f t="shared" ref="E57:E65" si="10">IF(D$66=0,C57*2,C57+D57)</f>
        <v>38.590000000000003</v>
      </c>
      <c r="F57" s="456" t="s">
        <v>462</v>
      </c>
      <c r="G57" s="456">
        <v>251</v>
      </c>
      <c r="H57" s="470">
        <f>'1461'!H57</f>
        <v>1047</v>
      </c>
      <c r="I57" s="101">
        <f>ROUND(E57*H57,2)</f>
        <v>40403.730000000003</v>
      </c>
      <c r="N57" s="638" t="s">
        <v>470</v>
      </c>
      <c r="O57" s="638"/>
      <c r="P57" s="641"/>
      <c r="Q57" s="641"/>
      <c r="R57" s="462" t="s">
        <v>462</v>
      </c>
      <c r="S57" s="462">
        <v>251</v>
      </c>
      <c r="T57" s="473">
        <f>H57</f>
        <v>1047</v>
      </c>
      <c r="U57" s="487">
        <f>ROUND(P57*T57,2)</f>
        <v>0</v>
      </c>
      <c r="V57" s="438"/>
    </row>
    <row r="58" spans="1:22" x14ac:dyDescent="0.25">
      <c r="A58" s="607"/>
      <c r="B58" s="607"/>
      <c r="C58" s="143">
        <v>2</v>
      </c>
      <c r="D58" s="143">
        <v>2.41</v>
      </c>
      <c r="E58" s="116">
        <f t="shared" si="10"/>
        <v>4.41</v>
      </c>
      <c r="F58" s="456" t="s">
        <v>462</v>
      </c>
      <c r="G58" s="456">
        <v>252</v>
      </c>
      <c r="H58" s="470">
        <f>'1461'!H58</f>
        <v>3380</v>
      </c>
      <c r="I58" s="101">
        <f t="shared" ref="I58:I65" si="11">ROUND(E58*H58,2)</f>
        <v>14905.8</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36.270000000000003</v>
      </c>
      <c r="D60" s="143">
        <v>33.049999999999997</v>
      </c>
      <c r="E60" s="116">
        <f t="shared" si="10"/>
        <v>69.319999999999993</v>
      </c>
      <c r="F60" s="457" t="s">
        <v>13</v>
      </c>
      <c r="G60" s="456">
        <v>251</v>
      </c>
      <c r="H60" s="470">
        <f>'1461'!H60</f>
        <v>1173</v>
      </c>
      <c r="I60" s="101">
        <f t="shared" si="11"/>
        <v>81312.36</v>
      </c>
      <c r="N60" s="639"/>
      <c r="O60" s="639"/>
      <c r="P60" s="642"/>
      <c r="Q60" s="642"/>
      <c r="R60" s="40" t="s">
        <v>13</v>
      </c>
      <c r="S60" s="462">
        <v>251</v>
      </c>
      <c r="T60" s="473">
        <f t="shared" si="12"/>
        <v>1173</v>
      </c>
      <c r="U60" s="487">
        <f t="shared" si="13"/>
        <v>0</v>
      </c>
      <c r="V60" s="438"/>
    </row>
    <row r="61" spans="1:22" x14ac:dyDescent="0.25">
      <c r="A61" s="607"/>
      <c r="B61" s="607"/>
      <c r="C61" s="143">
        <v>7</v>
      </c>
      <c r="D61" s="143">
        <v>8.44</v>
      </c>
      <c r="E61" s="116">
        <f t="shared" si="10"/>
        <v>15.44</v>
      </c>
      <c r="F61" s="457" t="s">
        <v>13</v>
      </c>
      <c r="G61" s="456">
        <v>252</v>
      </c>
      <c r="H61" s="470">
        <f>'1461'!H61</f>
        <v>3506</v>
      </c>
      <c r="I61" s="101">
        <f t="shared" si="11"/>
        <v>54132.639999999999</v>
      </c>
      <c r="N61" s="639"/>
      <c r="O61" s="639"/>
      <c r="P61" s="642"/>
      <c r="Q61" s="642"/>
      <c r="R61" s="40" t="s">
        <v>13</v>
      </c>
      <c r="S61" s="462">
        <v>252</v>
      </c>
      <c r="T61" s="473">
        <f t="shared" si="12"/>
        <v>3506</v>
      </c>
      <c r="U61" s="487">
        <f t="shared" si="13"/>
        <v>0</v>
      </c>
      <c r="V61" s="438"/>
    </row>
    <row r="62" spans="1:22" x14ac:dyDescent="0.25">
      <c r="A62" s="607"/>
      <c r="B62" s="607"/>
      <c r="C62" s="143">
        <v>0.5</v>
      </c>
      <c r="D62" s="143">
        <v>0.4</v>
      </c>
      <c r="E62" s="116">
        <f t="shared" si="10"/>
        <v>0.9</v>
      </c>
      <c r="F62" s="457" t="s">
        <v>13</v>
      </c>
      <c r="G62" s="456">
        <v>253</v>
      </c>
      <c r="H62" s="470">
        <f>'1461'!H62</f>
        <v>7023</v>
      </c>
      <c r="I62" s="101">
        <f t="shared" si="11"/>
        <v>6320.7</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64.77000000000001</v>
      </c>
      <c r="D66" s="97">
        <f>SUM(D57:D65)</f>
        <v>63.889999999999993</v>
      </c>
      <c r="E66" s="97">
        <f>SUM(E57:E65)</f>
        <v>128.66</v>
      </c>
      <c r="F66" s="608" t="s">
        <v>471</v>
      </c>
      <c r="G66" s="608"/>
      <c r="H66" s="608"/>
      <c r="I66" s="97">
        <f>SUM(I57:I65)</f>
        <v>197075.23000000004</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643.8599999999999</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3.1770000000000001E-3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675.58619999999996</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2.9619999999999998E-3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643.8599999999999</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3.4480000000000001E-3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643.8599999999999</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3.1819999999999999E-3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643.8599999999999</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3.4550000000000002E-3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3.1819999999999999E-3</v>
      </c>
      <c r="I85" s="101">
        <f>ROUND(F85*H85,2)</f>
        <v>141607.42000000001</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3.1770000000000001E-3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3.4550000000000002E-3</v>
      </c>
      <c r="I90" s="101">
        <f>ROUND(F90*H90,2)</f>
        <v>56348.18</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3.4480000000000001E-3</v>
      </c>
      <c r="I92" s="101">
        <f t="shared" ref="I92:I96" si="14">ROUND(F92*H92,2)</f>
        <v>34992.559999999998</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2.9619999999999998E-3</v>
      </c>
      <c r="I94" s="101">
        <f t="shared" si="14"/>
        <v>707911.11</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2.9619999999999998E-3</v>
      </c>
      <c r="I96" s="101">
        <f t="shared" si="14"/>
        <v>0</v>
      </c>
      <c r="N96" s="620" t="s">
        <v>446</v>
      </c>
      <c r="O96" s="621"/>
      <c r="P96" s="621"/>
      <c r="Q96" s="44"/>
      <c r="R96" s="433">
        <f t="shared" si="15"/>
        <v>0</v>
      </c>
      <c r="S96" s="38" t="s">
        <v>6</v>
      </c>
      <c r="T96" s="435">
        <f>T73</f>
        <v>0</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3.1770000000000001E-3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275.94319999999999</v>
      </c>
      <c r="D104" s="614"/>
      <c r="E104" s="46">
        <f>H8</f>
        <v>1.0442</v>
      </c>
      <c r="F104" s="302">
        <f>'1461'!F104</f>
        <v>947.59</v>
      </c>
      <c r="G104" s="39" t="s">
        <v>12</v>
      </c>
      <c r="H104" s="101">
        <f>ROUND(C104*E104*F104,2)</f>
        <v>273038.48</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399.64299999999997</v>
      </c>
      <c r="D105" s="614"/>
      <c r="E105" s="46">
        <f>H8</f>
        <v>1.0442</v>
      </c>
      <c r="F105" s="302">
        <f>'1461'!F105</f>
        <v>904.74</v>
      </c>
      <c r="G105" s="39" t="s">
        <v>12</v>
      </c>
      <c r="H105" s="101">
        <f>ROUND(C105*E105*F105,2)</f>
        <v>377554.53</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675.58619999999996</v>
      </c>
      <c r="D107" s="604"/>
      <c r="E107" s="123"/>
      <c r="F107" s="123"/>
      <c r="G107" s="123"/>
      <c r="H107" s="124" t="s">
        <v>100</v>
      </c>
      <c r="I107" s="101">
        <f>IF(A1=75,0,H106+H105+H104)</f>
        <v>650593.01</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1</v>
      </c>
      <c r="D113" s="143">
        <v>3</v>
      </c>
      <c r="E113" s="116">
        <f>(C113+D113)/2</f>
        <v>2</v>
      </c>
      <c r="F113" s="126" t="s">
        <v>30</v>
      </c>
      <c r="G113" s="303">
        <f>'1461'!G113</f>
        <v>536</v>
      </c>
      <c r="I113" s="101">
        <f>ROUND(G113*E113,2)</f>
        <v>1072</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5415407.1799999997</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5223072.54</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5223072.54</v>
      </c>
      <c r="I135" s="94">
        <f>ROUND(IF(E30=0,0,IF(E30&gt;250,-(((250/E30)*H135)*IF(G135="H",0.02,0.05)),IF(G135="H",-0.02*H135,-0.05*H135))),2)</f>
        <v>-40560.620000000003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5374846.5599999996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-5376279.3199999994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-1432.7599999997765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-1432.76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63900.830800000003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115</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3">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7</v>
      </c>
      <c r="D15" s="143">
        <v>7</v>
      </c>
      <c r="E15" s="116">
        <f t="shared" ref="E15:E29" si="1">IF(D$30=0,C15*2,C15+D15)</f>
        <v>14</v>
      </c>
      <c r="F15" s="679">
        <f>'1461'!F15:G15</f>
        <v>1.1220000000000001</v>
      </c>
      <c r="G15" s="679"/>
      <c r="H15" s="80">
        <f t="shared" ref="H15:H29" si="2">ROUND(E15*F15,4)</f>
        <v>15.708</v>
      </c>
      <c r="I15" s="101">
        <f t="shared" ref="I15:I29" si="3">ROUND(ROUND(ROUND(H15*$C$8,4)*($H$8),2)*(MAX($H$9,1)),2)</f>
        <v>84303.360000000001</v>
      </c>
      <c r="J15" s="65" t="str">
        <f>IF(ROUND(E15,2)=ROUND(SUM(E57:E59),2)," ","CHECK PK-3 LINES BELOW")</f>
        <v xml:space="preserve"> </v>
      </c>
      <c r="N15" s="621" t="s">
        <v>21</v>
      </c>
      <c r="O15" s="621"/>
      <c r="P15" s="662">
        <f t="shared" si="0"/>
        <v>14</v>
      </c>
      <c r="Q15" s="662"/>
      <c r="R15" s="667">
        <v>1</v>
      </c>
      <c r="S15" s="667"/>
      <c r="T15" s="95">
        <f t="shared" ref="T15:T29" si="4">ROUND(P15*R15,4)</f>
        <v>14</v>
      </c>
      <c r="U15" s="486">
        <f t="shared" ref="U15:U29" si="5">ROUND(ROUND(ROUND(T15*$C$8,4)*($H$8),2)*(MAX($H$9,1)),2)</f>
        <v>75136.679999999993</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9</v>
      </c>
      <c r="D17" s="143">
        <v>11.5</v>
      </c>
      <c r="E17" s="116">
        <f t="shared" si="1"/>
        <v>20.5</v>
      </c>
      <c r="F17" s="679">
        <f>'1461'!F17:G17</f>
        <v>1</v>
      </c>
      <c r="G17" s="679"/>
      <c r="H17" s="80">
        <f t="shared" si="2"/>
        <v>20.5</v>
      </c>
      <c r="I17" s="101">
        <f t="shared" si="3"/>
        <v>110021.57</v>
      </c>
      <c r="J17" s="65" t="str">
        <f>IF(ROUND(E17,2)=ROUND(SUM(E60:E62),2)," ","CHECK 4-8 LINES BELOW")</f>
        <v xml:space="preserve"> </v>
      </c>
      <c r="N17" s="621" t="s">
        <v>23</v>
      </c>
      <c r="O17" s="621"/>
      <c r="P17" s="662">
        <f t="shared" si="0"/>
        <v>20.5</v>
      </c>
      <c r="Q17" s="662"/>
      <c r="R17" s="667">
        <v>1</v>
      </c>
      <c r="S17" s="667"/>
      <c r="T17" s="95">
        <f t="shared" si="4"/>
        <v>20.5</v>
      </c>
      <c r="U17" s="486">
        <f t="shared" si="5"/>
        <v>110021.57</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23.5</v>
      </c>
      <c r="D19" s="143">
        <v>29</v>
      </c>
      <c r="E19" s="116">
        <f t="shared" si="1"/>
        <v>52.5</v>
      </c>
      <c r="F19" s="679">
        <f>'1461'!F19:G19</f>
        <v>0.98799999999999999</v>
      </c>
      <c r="G19" s="679"/>
      <c r="H19" s="80">
        <f t="shared" si="2"/>
        <v>51.87</v>
      </c>
      <c r="I19" s="101">
        <f t="shared" si="3"/>
        <v>278381.42</v>
      </c>
      <c r="J19" s="65" t="str">
        <f>IF(ROUND(E19,2)=ROUND(SUM(E63:E65),2)," ","CHECK 4-8 LINES BELOW")</f>
        <v xml:space="preserve"> </v>
      </c>
      <c r="N19" s="621" t="s">
        <v>25</v>
      </c>
      <c r="O19" s="621"/>
      <c r="P19" s="662">
        <f t="shared" si="0"/>
        <v>52.5</v>
      </c>
      <c r="Q19" s="662"/>
      <c r="R19" s="667">
        <v>1</v>
      </c>
      <c r="S19" s="667"/>
      <c r="T19" s="95">
        <f t="shared" si="4"/>
        <v>52.5</v>
      </c>
      <c r="U19" s="485">
        <f t="shared" si="5"/>
        <v>281762.57</v>
      </c>
    </row>
    <row r="20" spans="1:21" x14ac:dyDescent="0.25">
      <c r="A20" s="596" t="s">
        <v>79</v>
      </c>
      <c r="B20" s="596"/>
      <c r="C20" s="143">
        <v>47.47</v>
      </c>
      <c r="D20" s="143">
        <v>39</v>
      </c>
      <c r="E20" s="116">
        <f t="shared" si="1"/>
        <v>86.47</v>
      </c>
      <c r="F20" s="679">
        <f>'1461'!F20:G20</f>
        <v>3.706</v>
      </c>
      <c r="G20" s="679"/>
      <c r="H20" s="80">
        <f t="shared" si="2"/>
        <v>320.45780000000002</v>
      </c>
      <c r="I20" s="101">
        <f t="shared" si="3"/>
        <v>1719866.91</v>
      </c>
      <c r="N20" s="621" t="s">
        <v>79</v>
      </c>
      <c r="O20" s="621"/>
      <c r="P20" s="662">
        <f t="shared" si="0"/>
        <v>86.47</v>
      </c>
      <c r="Q20" s="662"/>
      <c r="R20" s="667">
        <v>1</v>
      </c>
      <c r="S20" s="667"/>
      <c r="T20" s="95">
        <f t="shared" si="4"/>
        <v>86.47</v>
      </c>
      <c r="U20" s="486">
        <f t="shared" si="5"/>
        <v>464076.37</v>
      </c>
    </row>
    <row r="21" spans="1:21" x14ac:dyDescent="0.25">
      <c r="A21" s="596" t="s">
        <v>80</v>
      </c>
      <c r="B21" s="596"/>
      <c r="C21" s="143">
        <v>35.979999999999997</v>
      </c>
      <c r="D21" s="143">
        <v>33.5</v>
      </c>
      <c r="E21" s="116">
        <f t="shared" si="1"/>
        <v>69.47999999999999</v>
      </c>
      <c r="F21" s="679">
        <f>'1461'!F21:G21</f>
        <v>3.706</v>
      </c>
      <c r="G21" s="679"/>
      <c r="H21" s="80">
        <f t="shared" si="2"/>
        <v>257.49290000000002</v>
      </c>
      <c r="I21" s="101">
        <f t="shared" si="3"/>
        <v>1381940.21</v>
      </c>
      <c r="N21" s="621" t="s">
        <v>80</v>
      </c>
      <c r="O21" s="621"/>
      <c r="P21" s="662">
        <f t="shared" si="0"/>
        <v>69.47999999999999</v>
      </c>
      <c r="Q21" s="662"/>
      <c r="R21" s="667">
        <v>1</v>
      </c>
      <c r="S21" s="667"/>
      <c r="T21" s="95">
        <f t="shared" si="4"/>
        <v>69.48</v>
      </c>
      <c r="U21" s="486">
        <f t="shared" si="5"/>
        <v>372892.63</v>
      </c>
    </row>
    <row r="22" spans="1:21" x14ac:dyDescent="0.25">
      <c r="A22" s="596" t="s">
        <v>81</v>
      </c>
      <c r="B22" s="596"/>
      <c r="C22" s="143">
        <v>30.98</v>
      </c>
      <c r="D22" s="143">
        <v>25.5</v>
      </c>
      <c r="E22" s="116">
        <f t="shared" si="1"/>
        <v>56.480000000000004</v>
      </c>
      <c r="F22" s="679">
        <f>'1461'!F22:G22</f>
        <v>3.706</v>
      </c>
      <c r="G22" s="679"/>
      <c r="H22" s="80">
        <f t="shared" si="2"/>
        <v>209.31489999999999</v>
      </c>
      <c r="I22" s="101">
        <f t="shared" si="3"/>
        <v>1123373.4099999999</v>
      </c>
      <c r="N22" s="621" t="s">
        <v>81</v>
      </c>
      <c r="O22" s="621"/>
      <c r="P22" s="662">
        <f t="shared" si="0"/>
        <v>56.480000000000004</v>
      </c>
      <c r="Q22" s="662"/>
      <c r="R22" s="667">
        <v>1</v>
      </c>
      <c r="S22" s="667"/>
      <c r="T22" s="95">
        <f t="shared" si="4"/>
        <v>56.48</v>
      </c>
      <c r="U22" s="486">
        <f t="shared" si="5"/>
        <v>303122.84999999998</v>
      </c>
    </row>
    <row r="23" spans="1:21" x14ac:dyDescent="0.25">
      <c r="A23" s="596" t="s">
        <v>82</v>
      </c>
      <c r="B23" s="596"/>
      <c r="C23" s="143">
        <v>3</v>
      </c>
      <c r="D23" s="143">
        <v>12</v>
      </c>
      <c r="E23" s="116">
        <f t="shared" si="1"/>
        <v>15</v>
      </c>
      <c r="F23" s="679">
        <f>'1461'!F23:G23</f>
        <v>5.7069999999999999</v>
      </c>
      <c r="G23" s="679"/>
      <c r="H23" s="80">
        <f t="shared" si="2"/>
        <v>85.605000000000004</v>
      </c>
      <c r="I23" s="101">
        <f t="shared" si="3"/>
        <v>459433.99</v>
      </c>
      <c r="N23" s="621" t="s">
        <v>82</v>
      </c>
      <c r="O23" s="621"/>
      <c r="P23" s="662">
        <f t="shared" si="0"/>
        <v>15</v>
      </c>
      <c r="Q23" s="662"/>
      <c r="R23" s="667">
        <v>1</v>
      </c>
      <c r="S23" s="667"/>
      <c r="T23" s="95">
        <f t="shared" si="4"/>
        <v>15</v>
      </c>
      <c r="U23" s="486">
        <f t="shared" si="5"/>
        <v>80503.59</v>
      </c>
    </row>
    <row r="24" spans="1:21" x14ac:dyDescent="0.25">
      <c r="A24" s="596" t="s">
        <v>83</v>
      </c>
      <c r="B24" s="596"/>
      <c r="C24" s="143">
        <v>17.489999999999998</v>
      </c>
      <c r="D24" s="143">
        <v>15.5</v>
      </c>
      <c r="E24" s="116">
        <f t="shared" si="1"/>
        <v>32.989999999999995</v>
      </c>
      <c r="F24" s="679">
        <f>'1461'!F24:G24</f>
        <v>5.7069999999999999</v>
      </c>
      <c r="G24" s="679"/>
      <c r="H24" s="80">
        <f t="shared" si="2"/>
        <v>188.2739</v>
      </c>
      <c r="I24" s="101">
        <f t="shared" si="3"/>
        <v>1010448.34</v>
      </c>
      <c r="N24" s="621" t="s">
        <v>83</v>
      </c>
      <c r="O24" s="621"/>
      <c r="P24" s="662">
        <f t="shared" si="0"/>
        <v>32.989999999999995</v>
      </c>
      <c r="Q24" s="662"/>
      <c r="R24" s="667">
        <v>1</v>
      </c>
      <c r="S24" s="667"/>
      <c r="T24" s="95">
        <f t="shared" si="4"/>
        <v>32.99</v>
      </c>
      <c r="U24" s="486">
        <f t="shared" si="5"/>
        <v>177054.23</v>
      </c>
    </row>
    <row r="25" spans="1:21" x14ac:dyDescent="0.25">
      <c r="A25" s="596" t="s">
        <v>84</v>
      </c>
      <c r="B25" s="596"/>
      <c r="C25" s="143">
        <v>10.99</v>
      </c>
      <c r="D25" s="143">
        <v>11</v>
      </c>
      <c r="E25" s="116">
        <f t="shared" si="1"/>
        <v>21.990000000000002</v>
      </c>
      <c r="F25" s="679">
        <f>'1461'!F25:G25</f>
        <v>5.7069999999999999</v>
      </c>
      <c r="G25" s="679"/>
      <c r="H25" s="80">
        <f t="shared" si="2"/>
        <v>125.4969</v>
      </c>
      <c r="I25" s="101">
        <f t="shared" si="3"/>
        <v>673530.07</v>
      </c>
      <c r="N25" s="621" t="s">
        <v>84</v>
      </c>
      <c r="O25" s="621"/>
      <c r="P25" s="662">
        <f t="shared" si="0"/>
        <v>21.990000000000002</v>
      </c>
      <c r="Q25" s="662"/>
      <c r="R25" s="667">
        <v>1</v>
      </c>
      <c r="S25" s="667"/>
      <c r="T25" s="95">
        <f t="shared" si="4"/>
        <v>21.99</v>
      </c>
      <c r="U25" s="486">
        <f t="shared" si="5"/>
        <v>118018.26</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185.41</v>
      </c>
      <c r="D30" s="94">
        <f>SUM(D14:D29)</f>
        <v>184</v>
      </c>
      <c r="E30" s="94">
        <f>SUM(E14:E29)</f>
        <v>369.41</v>
      </c>
      <c r="F30" s="600"/>
      <c r="G30" s="600"/>
      <c r="H30" s="99">
        <f>SUM(H14:H29)</f>
        <v>1274.7194000000002</v>
      </c>
      <c r="I30" s="94">
        <f>SUM(I14:I29)</f>
        <v>6841299.2800000003</v>
      </c>
      <c r="N30" s="664" t="s">
        <v>5</v>
      </c>
      <c r="O30" s="664"/>
      <c r="P30" s="665">
        <f>SUM(P14:P29)</f>
        <v>369.41</v>
      </c>
      <c r="Q30" s="665"/>
      <c r="R30" s="637"/>
      <c r="S30" s="637"/>
      <c r="T30" s="100">
        <f>SUM(T14:T29)</f>
        <v>369.41</v>
      </c>
      <c r="U30" s="486">
        <f>SUM(U14:U29)</f>
        <v>1982588.75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1274.7194000000002</v>
      </c>
      <c r="F46" s="34"/>
      <c r="G46" s="106"/>
      <c r="H46" s="107" t="s">
        <v>98</v>
      </c>
      <c r="I46" s="94">
        <f>SUM(I44,I30)</f>
        <v>6841299.2800000003</v>
      </c>
      <c r="N46" s="623" t="s">
        <v>44</v>
      </c>
      <c r="O46" s="623"/>
      <c r="P46" s="623"/>
      <c r="Q46" s="623"/>
      <c r="R46" s="35">
        <f>R44+T30</f>
        <v>369.41</v>
      </c>
      <c r="S46" s="637" t="s">
        <v>42</v>
      </c>
      <c r="T46" s="637"/>
      <c r="U46" s="108">
        <f>SUM(U44,U30)</f>
        <v>1982588.75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7378418.7000000011</v>
      </c>
      <c r="G51" s="109" t="s">
        <v>6</v>
      </c>
      <c r="H51" s="415">
        <v>4.5199999999999997E-2</v>
      </c>
      <c r="I51" s="101">
        <f>ROUND(F51*H51,2)</f>
        <v>333504.53000000003</v>
      </c>
      <c r="N51" s="420"/>
      <c r="O51" s="421" t="s">
        <v>422</v>
      </c>
      <c r="P51" s="28"/>
      <c r="Q51" s="44" t="s">
        <v>423</v>
      </c>
      <c r="R51" s="422">
        <f>U30</f>
        <v>1982588.75</v>
      </c>
      <c r="S51" s="423" t="s">
        <v>6</v>
      </c>
      <c r="T51" s="424">
        <v>4.5199999999999997E-2</v>
      </c>
      <c r="U51" s="416">
        <f>ROUND(R51*T51,2)</f>
        <v>89613.01</v>
      </c>
    </row>
    <row r="52" spans="1:22" x14ac:dyDescent="0.25">
      <c r="A52" s="26"/>
      <c r="B52" s="81" t="s">
        <v>424</v>
      </c>
      <c r="C52" s="26"/>
      <c r="D52" s="26"/>
      <c r="E52" s="43" t="s">
        <v>423</v>
      </c>
      <c r="F52" s="414">
        <v>7378418.7000000011</v>
      </c>
      <c r="G52" s="109" t="s">
        <v>6</v>
      </c>
      <c r="H52" s="415">
        <v>1.41E-2</v>
      </c>
      <c r="I52" s="101">
        <f>ROUND(F52*H52,2)</f>
        <v>104035.7</v>
      </c>
      <c r="N52" s="28"/>
      <c r="O52" s="397" t="s">
        <v>424</v>
      </c>
      <c r="P52" s="28"/>
      <c r="Q52" s="44" t="s">
        <v>423</v>
      </c>
      <c r="R52" s="422">
        <f>U30</f>
        <v>1982588.75</v>
      </c>
      <c r="S52" s="423" t="s">
        <v>6</v>
      </c>
      <c r="T52" s="424">
        <v>1.41E-2</v>
      </c>
      <c r="U52" s="425">
        <f>ROUND(R52*T52,2)</f>
        <v>27954.5</v>
      </c>
    </row>
    <row r="53" spans="1:22" x14ac:dyDescent="0.25">
      <c r="A53" s="26"/>
      <c r="B53" s="81" t="s">
        <v>425</v>
      </c>
      <c r="C53" s="26"/>
      <c r="D53" s="26"/>
      <c r="E53" s="43"/>
      <c r="F53" s="414"/>
      <c r="G53" s="109"/>
      <c r="H53" s="415"/>
      <c r="I53" s="97">
        <f>SUM(I51:I52)</f>
        <v>437540.23000000004</v>
      </c>
      <c r="N53" s="28"/>
      <c r="O53" s="397" t="s">
        <v>425</v>
      </c>
      <c r="P53" s="28"/>
      <c r="Q53" s="44"/>
      <c r="R53" s="422"/>
      <c r="S53" s="423"/>
      <c r="T53" s="424"/>
      <c r="U53" s="416">
        <f>SUM(U51:U52)</f>
        <v>117567.51</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7</v>
      </c>
      <c r="D59" s="143">
        <v>7</v>
      </c>
      <c r="E59" s="116">
        <f t="shared" si="10"/>
        <v>14</v>
      </c>
      <c r="F59" s="456" t="s">
        <v>462</v>
      </c>
      <c r="G59" s="456">
        <v>253</v>
      </c>
      <c r="H59" s="470">
        <f>'1461'!H59</f>
        <v>6896</v>
      </c>
      <c r="I59" s="101">
        <f t="shared" si="11"/>
        <v>96544</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9</v>
      </c>
      <c r="D62" s="143">
        <v>11.5</v>
      </c>
      <c r="E62" s="116">
        <f>IF(D$66=0,C62*2,C62+D62)</f>
        <v>20.5</v>
      </c>
      <c r="F62" s="457" t="s">
        <v>13</v>
      </c>
      <c r="G62" s="456">
        <v>253</v>
      </c>
      <c r="H62" s="470">
        <f>'1461'!H62</f>
        <v>7023</v>
      </c>
      <c r="I62" s="101">
        <f t="shared" si="11"/>
        <v>143971.5</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1.5</v>
      </c>
      <c r="D64" s="143">
        <v>1.41</v>
      </c>
      <c r="E64" s="116">
        <f t="shared" si="10"/>
        <v>2.91</v>
      </c>
      <c r="F64" s="457" t="s">
        <v>14</v>
      </c>
      <c r="G64" s="456">
        <v>252</v>
      </c>
      <c r="H64" s="470">
        <f>'1461'!H64</f>
        <v>3168</v>
      </c>
      <c r="I64" s="101">
        <f t="shared" si="11"/>
        <v>9218.8799999999992</v>
      </c>
      <c r="N64" s="639"/>
      <c r="O64" s="639"/>
      <c r="P64" s="642"/>
      <c r="Q64" s="642"/>
      <c r="R64" s="40" t="s">
        <v>14</v>
      </c>
      <c r="S64" s="462">
        <v>252</v>
      </c>
      <c r="T64" s="473">
        <f t="shared" si="12"/>
        <v>3168</v>
      </c>
      <c r="U64" s="487">
        <f t="shared" si="13"/>
        <v>0</v>
      </c>
      <c r="V64" s="438"/>
    </row>
    <row r="65" spans="1:22" ht="16.5" thickBot="1" x14ac:dyDescent="0.3">
      <c r="A65" s="607"/>
      <c r="B65" s="607"/>
      <c r="C65" s="143">
        <v>22</v>
      </c>
      <c r="D65" s="143">
        <v>27.59</v>
      </c>
      <c r="E65" s="116">
        <f t="shared" si="10"/>
        <v>49.59</v>
      </c>
      <c r="F65" s="457" t="s">
        <v>14</v>
      </c>
      <c r="G65" s="456">
        <v>253</v>
      </c>
      <c r="H65" s="470">
        <f>'1461'!H65</f>
        <v>6685</v>
      </c>
      <c r="I65" s="101">
        <f t="shared" si="11"/>
        <v>331509.15000000002</v>
      </c>
      <c r="N65" s="639"/>
      <c r="O65" s="639"/>
      <c r="P65" s="643"/>
      <c r="Q65" s="643"/>
      <c r="R65" s="40" t="s">
        <v>14</v>
      </c>
      <c r="S65" s="462">
        <v>253</v>
      </c>
      <c r="T65" s="473">
        <f t="shared" si="12"/>
        <v>6685</v>
      </c>
      <c r="U65" s="488">
        <f t="shared" si="13"/>
        <v>0</v>
      </c>
      <c r="V65" s="438"/>
    </row>
    <row r="66" spans="1:22" ht="16.5" thickBot="1" x14ac:dyDescent="0.3">
      <c r="A66" s="453"/>
      <c r="C66" s="97">
        <f>SUM(C57:C65)</f>
        <v>39.5</v>
      </c>
      <c r="D66" s="97">
        <f>SUM(D57:D65)</f>
        <v>47.5</v>
      </c>
      <c r="E66" s="97">
        <f>SUM(E57:E65)</f>
        <v>87</v>
      </c>
      <c r="F66" s="608" t="s">
        <v>471</v>
      </c>
      <c r="G66" s="608"/>
      <c r="H66" s="608"/>
      <c r="I66" s="97">
        <f>SUM(I57:I65)</f>
        <v>581243.53</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369.41</v>
      </c>
      <c r="D69" s="583" t="s">
        <v>437</v>
      </c>
      <c r="E69" s="583"/>
      <c r="F69" s="583"/>
      <c r="G69" s="583"/>
      <c r="H69" s="299">
        <f>'1461'!H69</f>
        <v>202683.97</v>
      </c>
      <c r="I69" s="113"/>
      <c r="N69" s="620" t="s">
        <v>430</v>
      </c>
      <c r="O69" s="621"/>
      <c r="P69" s="41">
        <f>P30</f>
        <v>369.41</v>
      </c>
      <c r="Q69" s="626" t="s">
        <v>432</v>
      </c>
      <c r="R69" s="627"/>
      <c r="S69" s="627"/>
      <c r="T69" s="624">
        <f>H69</f>
        <v>202683.97</v>
      </c>
      <c r="U69" s="624"/>
    </row>
    <row r="70" spans="1:22" x14ac:dyDescent="0.25">
      <c r="B70" s="69"/>
      <c r="G70" s="42" t="s">
        <v>12</v>
      </c>
      <c r="H70" s="114">
        <f>ROUND(C69/H69,6)</f>
        <v>1.823E-3</v>
      </c>
      <c r="I70" s="115"/>
      <c r="N70" s="621"/>
      <c r="O70" s="621"/>
      <c r="P70" s="621"/>
      <c r="Q70" s="621"/>
      <c r="R70" s="621"/>
      <c r="S70" s="621"/>
      <c r="T70" s="625">
        <f>ROUND(P69/T69,6)</f>
        <v>1.823E-3</v>
      </c>
      <c r="U70" s="625"/>
    </row>
    <row r="71" spans="1:22" x14ac:dyDescent="0.25">
      <c r="A71" s="455" t="s">
        <v>474</v>
      </c>
      <c r="N71" s="466" t="s">
        <v>482</v>
      </c>
      <c r="O71" s="51"/>
      <c r="P71" s="51"/>
      <c r="Q71" s="51"/>
      <c r="R71" s="51"/>
      <c r="S71" s="51"/>
      <c r="T71" s="51"/>
      <c r="U71" s="51"/>
    </row>
    <row r="72" spans="1:22" x14ac:dyDescent="0.25">
      <c r="A72" s="602" t="s">
        <v>427</v>
      </c>
      <c r="B72" s="596"/>
      <c r="C72" s="112">
        <f>H30</f>
        <v>1274.7194000000002</v>
      </c>
      <c r="D72" s="583" t="s">
        <v>438</v>
      </c>
      <c r="E72" s="583"/>
      <c r="F72" s="583"/>
      <c r="G72" s="583"/>
      <c r="H72" s="300">
        <f>'1461'!H72</f>
        <v>228068.32</v>
      </c>
      <c r="I72" s="116"/>
      <c r="N72" s="620" t="s">
        <v>431</v>
      </c>
      <c r="O72" s="621"/>
      <c r="P72" s="41">
        <f>T30</f>
        <v>369.41</v>
      </c>
      <c r="Q72" s="626" t="s">
        <v>433</v>
      </c>
      <c r="R72" s="627"/>
      <c r="S72" s="627"/>
      <c r="T72" s="624">
        <f>H72</f>
        <v>228068.32</v>
      </c>
      <c r="U72" s="624"/>
    </row>
    <row r="73" spans="1:22" x14ac:dyDescent="0.25">
      <c r="G73" s="42" t="s">
        <v>12</v>
      </c>
      <c r="H73" s="114">
        <f>ROUND(C72/H72,6)</f>
        <v>5.5890000000000002E-3</v>
      </c>
      <c r="I73" s="114"/>
      <c r="N73" s="621"/>
      <c r="O73" s="621"/>
      <c r="P73" s="621"/>
      <c r="Q73" s="621"/>
      <c r="R73" s="621"/>
      <c r="S73" s="621"/>
      <c r="T73" s="625">
        <f>ROUND(P72/T72,6)</f>
        <v>1.6199999999999999E-3</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369.41</v>
      </c>
      <c r="D75" s="575" t="s">
        <v>439</v>
      </c>
      <c r="E75" s="575"/>
      <c r="F75" s="575"/>
      <c r="G75" s="575"/>
      <c r="H75" s="299">
        <f>'1461'!H75</f>
        <v>186715.72</v>
      </c>
      <c r="I75" s="113"/>
      <c r="N75" s="620" t="s">
        <v>429</v>
      </c>
      <c r="O75" s="621"/>
      <c r="P75" s="41">
        <f>P30</f>
        <v>369.41</v>
      </c>
      <c r="Q75" s="656" t="s">
        <v>434</v>
      </c>
      <c r="R75" s="657"/>
      <c r="S75" s="657"/>
      <c r="T75" s="624">
        <f>H75</f>
        <v>186715.72</v>
      </c>
      <c r="U75" s="624"/>
    </row>
    <row r="76" spans="1:22" x14ac:dyDescent="0.25">
      <c r="B76" s="69"/>
      <c r="G76" s="42" t="s">
        <v>12</v>
      </c>
      <c r="H76" s="114">
        <f>ROUND(C75/H75,6)</f>
        <v>1.9780000000000002E-3</v>
      </c>
      <c r="I76" s="115"/>
      <c r="N76" s="621"/>
      <c r="O76" s="621"/>
      <c r="P76" s="621"/>
      <c r="Q76" s="621"/>
      <c r="R76" s="621"/>
      <c r="S76" s="621"/>
      <c r="T76" s="625">
        <f>ROUND(P75/T75,6)</f>
        <v>1.9780000000000002E-3</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369.41</v>
      </c>
      <c r="D78" s="603" t="s">
        <v>440</v>
      </c>
      <c r="E78" s="603"/>
      <c r="F78" s="603"/>
      <c r="G78" s="603"/>
      <c r="H78" s="299">
        <f>'1461'!H78</f>
        <v>202339.94</v>
      </c>
      <c r="I78" s="113"/>
      <c r="N78" s="620" t="s">
        <v>429</v>
      </c>
      <c r="O78" s="621"/>
      <c r="P78" s="41">
        <f>P30</f>
        <v>369.41</v>
      </c>
      <c r="Q78" s="654" t="s">
        <v>435</v>
      </c>
      <c r="R78" s="655"/>
      <c r="S78" s="655"/>
      <c r="T78" s="624">
        <f>H78</f>
        <v>202339.94</v>
      </c>
      <c r="U78" s="624"/>
    </row>
    <row r="79" spans="1:22" x14ac:dyDescent="0.25">
      <c r="B79" s="69"/>
      <c r="G79" s="42" t="s">
        <v>12</v>
      </c>
      <c r="H79" s="114">
        <f>ROUND(C78/H78,6)</f>
        <v>1.8259999999999999E-3</v>
      </c>
      <c r="I79" s="115"/>
      <c r="N79" s="621"/>
      <c r="O79" s="621"/>
      <c r="P79" s="621"/>
      <c r="Q79" s="621"/>
      <c r="R79" s="621"/>
      <c r="S79" s="621"/>
      <c r="T79" s="625">
        <f>ROUND(P78/T78,6)</f>
        <v>1.8259999999999999E-3</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369.41</v>
      </c>
      <c r="D81" s="575" t="s">
        <v>441</v>
      </c>
      <c r="E81" s="575"/>
      <c r="F81" s="575"/>
      <c r="G81" s="575"/>
      <c r="H81" s="299">
        <f>'1461'!H81</f>
        <v>186371.69</v>
      </c>
      <c r="I81" s="113"/>
      <c r="N81" s="620" t="s">
        <v>442</v>
      </c>
      <c r="O81" s="621"/>
      <c r="P81" s="41">
        <f>P30</f>
        <v>369.41</v>
      </c>
      <c r="Q81" s="656" t="s">
        <v>443</v>
      </c>
      <c r="R81" s="657"/>
      <c r="S81" s="657"/>
      <c r="T81" s="624">
        <f>H81</f>
        <v>186371.69</v>
      </c>
      <c r="U81" s="624"/>
    </row>
    <row r="82" spans="1:21" x14ac:dyDescent="0.25">
      <c r="B82" s="69"/>
      <c r="G82" s="42" t="s">
        <v>12</v>
      </c>
      <c r="H82" s="114">
        <f>ROUND(C81/H81,6)</f>
        <v>1.9819999999999998E-3</v>
      </c>
      <c r="I82" s="115"/>
      <c r="N82" s="621"/>
      <c r="O82" s="621"/>
      <c r="P82" s="621"/>
      <c r="Q82" s="621"/>
      <c r="R82" s="621"/>
      <c r="S82" s="621"/>
      <c r="T82" s="625">
        <f>ROUND(P81/T81,6)</f>
        <v>1.9819999999999998E-3</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1.8259999999999999E-3</v>
      </c>
      <c r="I85" s="101">
        <f>ROUND(F85*H85,2)</f>
        <v>81261.83</v>
      </c>
      <c r="N85" s="466" t="s">
        <v>478</v>
      </c>
      <c r="O85" s="51"/>
      <c r="P85" s="51"/>
      <c r="Q85" s="44"/>
      <c r="R85" s="433">
        <f>F85</f>
        <v>44502646</v>
      </c>
      <c r="S85" s="38" t="s">
        <v>6</v>
      </c>
      <c r="T85" s="435">
        <f>T79</f>
        <v>1.8259999999999999E-3</v>
      </c>
      <c r="U85" s="486">
        <f>ROUND(R85*T85,2)</f>
        <v>81261.83</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1.823E-3</v>
      </c>
      <c r="I88" s="101">
        <f>ROUND(F88*H88,2)</f>
        <v>0</v>
      </c>
      <c r="N88" s="658" t="s">
        <v>99</v>
      </c>
      <c r="O88" s="621"/>
      <c r="P88" s="621"/>
      <c r="Q88" s="44"/>
      <c r="R88" s="433">
        <f>F88</f>
        <v>0</v>
      </c>
      <c r="S88" s="38" t="s">
        <v>6</v>
      </c>
      <c r="T88" s="435">
        <f>T70</f>
        <v>1.823E-3</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1.9819999999999998E-3</v>
      </c>
      <c r="I90" s="101">
        <f>ROUND(F90*H90,2)</f>
        <v>32324.77</v>
      </c>
      <c r="N90" s="466" t="s">
        <v>479</v>
      </c>
      <c r="O90" s="51"/>
      <c r="P90" s="51"/>
      <c r="Q90" s="44"/>
      <c r="R90" s="433">
        <f>F90</f>
        <v>16309168</v>
      </c>
      <c r="S90" s="38" t="s">
        <v>6</v>
      </c>
      <c r="T90" s="435">
        <f>T82</f>
        <v>1.9819999999999998E-3</v>
      </c>
      <c r="U90" s="486">
        <f>ROUND(R90*T90,2)</f>
        <v>32324.77</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1.9780000000000002E-3</v>
      </c>
      <c r="I92" s="101">
        <f t="shared" ref="I92:I96" si="14">ROUND(F92*H92,2)</f>
        <v>20074.04</v>
      </c>
      <c r="N92" s="466" t="s">
        <v>480</v>
      </c>
      <c r="O92" s="51"/>
      <c r="P92" s="51"/>
      <c r="Q92" s="44"/>
      <c r="R92" s="433">
        <f t="shared" ref="R92:R96" si="15">F92</f>
        <v>10148654</v>
      </c>
      <c r="S92" s="38" t="s">
        <v>6</v>
      </c>
      <c r="T92" s="435">
        <f>T76</f>
        <v>1.9780000000000002E-3</v>
      </c>
      <c r="U92" s="486">
        <f>ROUND(R92*T92,2)</f>
        <v>20074.04</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5.5890000000000002E-3</v>
      </c>
      <c r="I94" s="101">
        <f t="shared" si="14"/>
        <v>1335758</v>
      </c>
      <c r="N94" s="621" t="s">
        <v>445</v>
      </c>
      <c r="O94" s="621"/>
      <c r="P94" s="621"/>
      <c r="Q94" s="44"/>
      <c r="R94" s="433">
        <f t="shared" si="15"/>
        <v>238997674</v>
      </c>
      <c r="S94" s="38" t="s">
        <v>6</v>
      </c>
      <c r="T94" s="435">
        <f>T73</f>
        <v>1.6199999999999999E-3</v>
      </c>
      <c r="U94" s="486">
        <f>ROUND(R94*T94,2)</f>
        <v>387176.23</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5.5890000000000002E-3</v>
      </c>
      <c r="I96" s="101">
        <f t="shared" si="14"/>
        <v>0</v>
      </c>
      <c r="N96" s="620" t="s">
        <v>446</v>
      </c>
      <c r="O96" s="621"/>
      <c r="P96" s="621"/>
      <c r="Q96" s="44"/>
      <c r="R96" s="433">
        <f t="shared" si="15"/>
        <v>0</v>
      </c>
      <c r="S96" s="38" t="s">
        <v>6</v>
      </c>
      <c r="T96" s="435">
        <f>T73</f>
        <v>1.6199999999999999E-3</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1.823E-3</v>
      </c>
      <c r="I98" s="101">
        <f t="shared" ref="I98" si="16">ROUND(F98*H98,2)</f>
        <v>0</v>
      </c>
      <c r="N98" s="542" t="s">
        <v>525</v>
      </c>
      <c r="O98" s="542"/>
      <c r="P98" s="542"/>
      <c r="Q98" s="44"/>
      <c r="R98" s="545">
        <f>F98</f>
        <v>0</v>
      </c>
      <c r="S98" s="543" t="s">
        <v>6</v>
      </c>
      <c r="T98" s="435">
        <f>T70</f>
        <v>1.823E-3</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421.77080000000007</v>
      </c>
      <c r="D104" s="614"/>
      <c r="E104" s="46">
        <f>H8</f>
        <v>1.0442</v>
      </c>
      <c r="F104" s="302">
        <f>'1461'!F104</f>
        <v>947.59</v>
      </c>
      <c r="G104" s="39" t="s">
        <v>12</v>
      </c>
      <c r="H104" s="101">
        <f>ROUND(C104*E104*F104,2)</f>
        <v>417331.02</v>
      </c>
      <c r="I104" s="104"/>
      <c r="N104" s="28" t="s">
        <v>17</v>
      </c>
      <c r="O104" s="47">
        <f>T14+T15+T20+T23+T26</f>
        <v>115.47</v>
      </c>
      <c r="P104" s="631">
        <f>T8</f>
        <v>1.0442</v>
      </c>
      <c r="Q104" s="631"/>
      <c r="R104" s="48">
        <f>F104</f>
        <v>947.59</v>
      </c>
      <c r="S104" s="40" t="s">
        <v>12</v>
      </c>
      <c r="T104" s="492">
        <f>ROUND(O104*P104*R104,2)</f>
        <v>114254.5</v>
      </c>
      <c r="U104" s="102"/>
    </row>
    <row r="105" spans="1:21" x14ac:dyDescent="0.25">
      <c r="A105" s="49"/>
      <c r="B105" s="49" t="s">
        <v>104</v>
      </c>
      <c r="C105" s="614">
        <f>H16+H17+H21+H24+H27</f>
        <v>466.26679999999999</v>
      </c>
      <c r="D105" s="614"/>
      <c r="E105" s="46">
        <f>H8</f>
        <v>1.0442</v>
      </c>
      <c r="F105" s="302">
        <f>'1461'!F105</f>
        <v>904.74</v>
      </c>
      <c r="G105" s="39" t="s">
        <v>12</v>
      </c>
      <c r="H105" s="101">
        <f>ROUND(C105*E105*F105,2)</f>
        <v>440496</v>
      </c>
      <c r="N105" s="50" t="s">
        <v>13</v>
      </c>
      <c r="O105" s="47">
        <f>T16+T17+T21+T24+T27</f>
        <v>122.97</v>
      </c>
      <c r="P105" s="631">
        <f>T8</f>
        <v>1.0442</v>
      </c>
      <c r="Q105" s="631"/>
      <c r="R105" s="48">
        <f>F105</f>
        <v>904.74</v>
      </c>
      <c r="S105" s="40" t="s">
        <v>12</v>
      </c>
      <c r="T105" s="492">
        <f>ROUND(O105*P105*R105,2)</f>
        <v>116173.39</v>
      </c>
      <c r="U105" s="51"/>
    </row>
    <row r="106" spans="1:21" ht="16.5" thickBot="1" x14ac:dyDescent="0.3">
      <c r="A106" s="52"/>
      <c r="B106" s="52" t="s">
        <v>103</v>
      </c>
      <c r="C106" s="614">
        <f>H18+H19+H22+H25+H28+H29</f>
        <v>386.68179999999995</v>
      </c>
      <c r="D106" s="614"/>
      <c r="E106" s="46">
        <f>H8</f>
        <v>1.0442</v>
      </c>
      <c r="F106" s="302">
        <f>'1461'!F106</f>
        <v>906.93</v>
      </c>
      <c r="G106" s="39" t="s">
        <v>12</v>
      </c>
      <c r="H106" s="94">
        <f>ROUND(C106*E106*F106,2)</f>
        <v>366193.97</v>
      </c>
      <c r="N106" s="53" t="s">
        <v>14</v>
      </c>
      <c r="O106" s="54">
        <f>T18+T19+T22+T25+T28+T29</f>
        <v>130.97</v>
      </c>
      <c r="P106" s="631">
        <f>T8</f>
        <v>1.0442</v>
      </c>
      <c r="Q106" s="631"/>
      <c r="R106" s="48">
        <f>F106</f>
        <v>906.93</v>
      </c>
      <c r="S106" s="40" t="s">
        <v>12</v>
      </c>
      <c r="T106" s="492">
        <f>ROUND(O106*P106*R106,2)</f>
        <v>124030.73</v>
      </c>
      <c r="U106" s="51"/>
    </row>
    <row r="107" spans="1:21" ht="16.5" thickBot="1" x14ac:dyDescent="0.3">
      <c r="A107" s="55"/>
      <c r="B107" s="122" t="s">
        <v>102</v>
      </c>
      <c r="C107" s="604">
        <f>SUM(C104:C106)</f>
        <v>1274.7194</v>
      </c>
      <c r="D107" s="604"/>
      <c r="E107" s="123"/>
      <c r="F107" s="123"/>
      <c r="G107" s="123"/>
      <c r="H107" s="124" t="s">
        <v>100</v>
      </c>
      <c r="I107" s="101">
        <f>IF(A1=75,0,H106+H105+H104)</f>
        <v>1224020.99</v>
      </c>
      <c r="N107" s="56" t="s">
        <v>89</v>
      </c>
      <c r="O107" s="57">
        <f>SUM(O104:O106)</f>
        <v>369.40999999999997</v>
      </c>
      <c r="P107" s="632" t="s">
        <v>16</v>
      </c>
      <c r="Q107" s="633"/>
      <c r="R107" s="633"/>
      <c r="S107" s="633"/>
      <c r="T107" s="633"/>
      <c r="U107" s="486">
        <f>IF(N1=75,0,T106+T105+T104)</f>
        <v>354458.62</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0</v>
      </c>
      <c r="D113" s="143">
        <v>0</v>
      </c>
      <c r="E113" s="116">
        <f>C113</f>
        <v>0</v>
      </c>
      <c r="F113" s="126" t="s">
        <v>30</v>
      </c>
      <c r="G113" s="303">
        <f>'1461'!G113</f>
        <v>536</v>
      </c>
      <c r="I113" s="101">
        <f>ROUND(G113*E113,2)</f>
        <v>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10115982.439999999</v>
      </c>
      <c r="N128" s="466"/>
      <c r="O128" s="465"/>
      <c r="P128" s="465"/>
      <c r="Q128" s="305"/>
      <c r="R128" s="305"/>
      <c r="S128" s="305"/>
      <c r="T128" s="305"/>
      <c r="U128" s="493">
        <f>SUM(U30,U85,U88,U90,U92,U94,U96,U107,U113,U114,U124,U126)</f>
        <v>2857884.24</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9678442.209999999</v>
      </c>
      <c r="N130" s="621" t="s">
        <v>457</v>
      </c>
      <c r="O130" s="621"/>
      <c r="P130" s="621"/>
      <c r="Q130" s="621"/>
      <c r="R130" s="621"/>
      <c r="S130" s="621"/>
      <c r="T130" s="621"/>
      <c r="U130" s="484">
        <f>U128-U53</f>
        <v>2740316.7300000004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f>IF(E30=0,"",IF((E15+E17+SUM(E19:E25))/E30&gt;0.75,1,""))</f>
        <v>1</v>
      </c>
      <c r="I133" s="116">
        <f>U130</f>
        <v>2740316.7300000004</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2740316.7300000004</v>
      </c>
      <c r="I135" s="94">
        <f>ROUND(IF(E30=0,0,IF(E30&gt;250,-(((250/E30)*H135)*IF(G135="H",0.02,0.05)),IF(G135="H",-0.02*H135,-0.05*H135))),2)</f>
        <v>-92726.13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10023256.309999999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-10031765.369999999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-8509.0600000005215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-8509.06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44289.706500000029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346</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0.48</v>
      </c>
      <c r="E15" s="116">
        <f t="shared" ref="E15:E29" si="1">IF(D$30=0,C15*2,C15+D15)</f>
        <v>0.48</v>
      </c>
      <c r="F15" s="679">
        <f>'1461'!F15:G15</f>
        <v>1.1220000000000001</v>
      </c>
      <c r="G15" s="679"/>
      <c r="H15" s="80">
        <f t="shared" ref="H15:H29" si="2">ROUND(E15*F15,4)</f>
        <v>0.53859999999999997</v>
      </c>
      <c r="I15" s="101">
        <f t="shared" ref="I15:I29" si="3">ROUND(ROUND(ROUND(H15*$C$8,4)*($H$8),2)*(MAX($H$9,1)),2)</f>
        <v>2890.62</v>
      </c>
      <c r="J15" s="65" t="str">
        <f>IF(ROUND(E15,2)=ROUND(SUM(E57:E59),2)," ","CHECK PK-3 LINES BELOW")</f>
        <v xml:space="preserve"> </v>
      </c>
      <c r="N15" s="621" t="s">
        <v>21</v>
      </c>
      <c r="O15" s="621"/>
      <c r="P15" s="662">
        <f t="shared" si="0"/>
        <v>0.48</v>
      </c>
      <c r="Q15" s="662"/>
      <c r="R15" s="667">
        <v>1</v>
      </c>
      <c r="S15" s="667"/>
      <c r="T15" s="95">
        <f t="shared" ref="T15:T29" si="4">ROUND(P15*R15,4)</f>
        <v>0.48</v>
      </c>
      <c r="U15" s="486">
        <f t="shared" ref="U15:U29" si="5">ROUND(ROUND(ROUND(T15*$C$8,4)*($H$8),2)*(MAX($H$9,1)),2)</f>
        <v>2576.11</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3.5</v>
      </c>
      <c r="D19" s="143">
        <v>4</v>
      </c>
      <c r="E19" s="116">
        <f t="shared" si="1"/>
        <v>7.5</v>
      </c>
      <c r="F19" s="679">
        <f>'1461'!F19:G19</f>
        <v>0.98799999999999999</v>
      </c>
      <c r="G19" s="679"/>
      <c r="H19" s="80">
        <f t="shared" si="2"/>
        <v>7.41</v>
      </c>
      <c r="I19" s="101">
        <f t="shared" si="3"/>
        <v>39768.769999999997</v>
      </c>
      <c r="J19" s="65" t="str">
        <f>IF(ROUND(E19,2)=ROUND(SUM(E63:E65),2)," ","CHECK 4-8 LINES BELOW")</f>
        <v xml:space="preserve"> </v>
      </c>
      <c r="N19" s="621" t="s">
        <v>25</v>
      </c>
      <c r="O19" s="621"/>
      <c r="P19" s="662">
        <f t="shared" si="0"/>
        <v>7.5</v>
      </c>
      <c r="Q19" s="662"/>
      <c r="R19" s="667">
        <v>1</v>
      </c>
      <c r="S19" s="667"/>
      <c r="T19" s="95">
        <f t="shared" si="4"/>
        <v>7.5</v>
      </c>
      <c r="U19" s="485">
        <f t="shared" si="5"/>
        <v>40251.800000000003</v>
      </c>
    </row>
    <row r="20" spans="1:21" x14ac:dyDescent="0.25">
      <c r="A20" s="596" t="s">
        <v>79</v>
      </c>
      <c r="B20" s="596"/>
      <c r="C20" s="143">
        <v>0</v>
      </c>
      <c r="D20" s="143">
        <v>4.37</v>
      </c>
      <c r="E20" s="116">
        <f t="shared" si="1"/>
        <v>4.37</v>
      </c>
      <c r="F20" s="679">
        <f>'1461'!F20:G20</f>
        <v>3.706</v>
      </c>
      <c r="G20" s="679"/>
      <c r="H20" s="80">
        <f t="shared" si="2"/>
        <v>16.1952</v>
      </c>
      <c r="I20" s="101">
        <f t="shared" si="3"/>
        <v>86918.12</v>
      </c>
      <c r="N20" s="621" t="s">
        <v>79</v>
      </c>
      <c r="O20" s="621"/>
      <c r="P20" s="662">
        <f t="shared" si="0"/>
        <v>4.37</v>
      </c>
      <c r="Q20" s="662"/>
      <c r="R20" s="667">
        <v>1</v>
      </c>
      <c r="S20" s="667"/>
      <c r="T20" s="95">
        <f t="shared" si="4"/>
        <v>4.37</v>
      </c>
      <c r="U20" s="486">
        <f t="shared" si="5"/>
        <v>23453.38</v>
      </c>
    </row>
    <row r="21" spans="1:21" x14ac:dyDescent="0.25">
      <c r="A21" s="596" t="s">
        <v>80</v>
      </c>
      <c r="B21" s="596"/>
      <c r="C21" s="143">
        <v>0</v>
      </c>
      <c r="D21" s="143">
        <v>8.74</v>
      </c>
      <c r="E21" s="116">
        <f t="shared" si="1"/>
        <v>8.74</v>
      </c>
      <c r="F21" s="679">
        <f>'1461'!F21:G21</f>
        <v>3.706</v>
      </c>
      <c r="G21" s="679"/>
      <c r="H21" s="80">
        <f t="shared" si="2"/>
        <v>32.3904</v>
      </c>
      <c r="I21" s="101">
        <f t="shared" si="3"/>
        <v>173836.23</v>
      </c>
      <c r="N21" s="621" t="s">
        <v>80</v>
      </c>
      <c r="O21" s="621"/>
      <c r="P21" s="662">
        <f t="shared" si="0"/>
        <v>8.74</v>
      </c>
      <c r="Q21" s="662"/>
      <c r="R21" s="667">
        <v>1</v>
      </c>
      <c r="S21" s="667"/>
      <c r="T21" s="95">
        <f t="shared" si="4"/>
        <v>8.74</v>
      </c>
      <c r="U21" s="486">
        <f t="shared" si="5"/>
        <v>46906.76</v>
      </c>
    </row>
    <row r="22" spans="1:21" x14ac:dyDescent="0.25">
      <c r="A22" s="596" t="s">
        <v>81</v>
      </c>
      <c r="B22" s="596"/>
      <c r="C22" s="143">
        <v>24.88</v>
      </c>
      <c r="D22" s="143">
        <v>21.86</v>
      </c>
      <c r="E22" s="116">
        <f t="shared" si="1"/>
        <v>46.739999999999995</v>
      </c>
      <c r="F22" s="679">
        <f>'1461'!F22:G22</f>
        <v>3.706</v>
      </c>
      <c r="G22" s="679"/>
      <c r="H22" s="80">
        <f t="shared" si="2"/>
        <v>173.2184</v>
      </c>
      <c r="I22" s="101">
        <f t="shared" si="3"/>
        <v>929646.88</v>
      </c>
      <c r="N22" s="621" t="s">
        <v>81</v>
      </c>
      <c r="O22" s="621"/>
      <c r="P22" s="662">
        <f t="shared" si="0"/>
        <v>46.739999999999995</v>
      </c>
      <c r="Q22" s="662"/>
      <c r="R22" s="667">
        <v>1</v>
      </c>
      <c r="S22" s="667"/>
      <c r="T22" s="95">
        <f t="shared" si="4"/>
        <v>46.74</v>
      </c>
      <c r="U22" s="486">
        <f t="shared" si="5"/>
        <v>250849.19</v>
      </c>
    </row>
    <row r="23" spans="1:21" x14ac:dyDescent="0.25">
      <c r="A23" s="596" t="s">
        <v>82</v>
      </c>
      <c r="B23" s="596"/>
      <c r="C23" s="143">
        <v>0</v>
      </c>
      <c r="D23" s="143">
        <v>1.47</v>
      </c>
      <c r="E23" s="116">
        <f t="shared" si="1"/>
        <v>1.47</v>
      </c>
      <c r="F23" s="679">
        <f>'1461'!F23:G23</f>
        <v>5.7069999999999999</v>
      </c>
      <c r="G23" s="679"/>
      <c r="H23" s="80">
        <f t="shared" si="2"/>
        <v>8.3893000000000004</v>
      </c>
      <c r="I23" s="101">
        <f t="shared" si="3"/>
        <v>45024.59</v>
      </c>
      <c r="N23" s="621" t="s">
        <v>82</v>
      </c>
      <c r="O23" s="621"/>
      <c r="P23" s="662">
        <f t="shared" si="0"/>
        <v>1.47</v>
      </c>
      <c r="Q23" s="662"/>
      <c r="R23" s="667">
        <v>1</v>
      </c>
      <c r="S23" s="667"/>
      <c r="T23" s="95">
        <f t="shared" si="4"/>
        <v>1.47</v>
      </c>
      <c r="U23" s="486">
        <f t="shared" si="5"/>
        <v>7889.35</v>
      </c>
    </row>
    <row r="24" spans="1:21" x14ac:dyDescent="0.25">
      <c r="A24" s="596" t="s">
        <v>83</v>
      </c>
      <c r="B24" s="596"/>
      <c r="C24" s="143">
        <v>0</v>
      </c>
      <c r="D24" s="143">
        <v>2.96</v>
      </c>
      <c r="E24" s="116">
        <f t="shared" si="1"/>
        <v>2.96</v>
      </c>
      <c r="F24" s="679">
        <f>'1461'!F24:G24</f>
        <v>5.7069999999999999</v>
      </c>
      <c r="G24" s="679"/>
      <c r="H24" s="80">
        <f t="shared" si="2"/>
        <v>16.892700000000001</v>
      </c>
      <c r="I24" s="101">
        <f t="shared" si="3"/>
        <v>90661.53</v>
      </c>
      <c r="N24" s="621" t="s">
        <v>83</v>
      </c>
      <c r="O24" s="621"/>
      <c r="P24" s="662">
        <f t="shared" si="0"/>
        <v>2.96</v>
      </c>
      <c r="Q24" s="662"/>
      <c r="R24" s="667">
        <v>1</v>
      </c>
      <c r="S24" s="667"/>
      <c r="T24" s="95">
        <f t="shared" si="4"/>
        <v>2.96</v>
      </c>
      <c r="U24" s="486">
        <f t="shared" si="5"/>
        <v>15886.04</v>
      </c>
    </row>
    <row r="25" spans="1:21" x14ac:dyDescent="0.25">
      <c r="A25" s="596" t="s">
        <v>84</v>
      </c>
      <c r="B25" s="596"/>
      <c r="C25" s="143">
        <v>33.01</v>
      </c>
      <c r="D25" s="143">
        <v>34</v>
      </c>
      <c r="E25" s="116">
        <f t="shared" si="1"/>
        <v>67.009999999999991</v>
      </c>
      <c r="F25" s="679">
        <f>'1461'!F25:G25</f>
        <v>5.7069999999999999</v>
      </c>
      <c r="G25" s="679"/>
      <c r="H25" s="80">
        <f t="shared" si="2"/>
        <v>382.42610000000002</v>
      </c>
      <c r="I25" s="101">
        <f t="shared" si="3"/>
        <v>2052444.96</v>
      </c>
      <c r="N25" s="621" t="s">
        <v>84</v>
      </c>
      <c r="O25" s="621"/>
      <c r="P25" s="662">
        <f t="shared" si="0"/>
        <v>67.009999999999991</v>
      </c>
      <c r="Q25" s="662"/>
      <c r="R25" s="667">
        <v>1</v>
      </c>
      <c r="S25" s="667"/>
      <c r="T25" s="95">
        <f t="shared" si="4"/>
        <v>67.010000000000005</v>
      </c>
      <c r="U25" s="486">
        <f t="shared" si="5"/>
        <v>359636.38</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61.39</v>
      </c>
      <c r="D30" s="94">
        <f>SUM(D14:D29)</f>
        <v>77.88</v>
      </c>
      <c r="E30" s="94">
        <f>SUM(E14:E29)</f>
        <v>139.26999999999998</v>
      </c>
      <c r="F30" s="600"/>
      <c r="G30" s="600"/>
      <c r="H30" s="99">
        <f>SUM(H14:H29)</f>
        <v>637.46069999999997</v>
      </c>
      <c r="I30" s="94">
        <f>SUM(I14:I29)</f>
        <v>3421191.7</v>
      </c>
      <c r="N30" s="664" t="s">
        <v>5</v>
      </c>
      <c r="O30" s="664"/>
      <c r="P30" s="665">
        <f>SUM(P14:P29)</f>
        <v>139.26999999999998</v>
      </c>
      <c r="Q30" s="665"/>
      <c r="R30" s="637"/>
      <c r="S30" s="637"/>
      <c r="T30" s="100">
        <f>SUM(T14:T29)</f>
        <v>139.27000000000001</v>
      </c>
      <c r="U30" s="486">
        <f>SUM(U14:U29)</f>
        <v>747449.01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637.46069999999997</v>
      </c>
      <c r="F46" s="34"/>
      <c r="G46" s="106"/>
      <c r="H46" s="107" t="s">
        <v>98</v>
      </c>
      <c r="I46" s="94">
        <f>SUM(I44,I30)</f>
        <v>3421191.7</v>
      </c>
      <c r="N46" s="623" t="s">
        <v>44</v>
      </c>
      <c r="O46" s="623"/>
      <c r="P46" s="623"/>
      <c r="Q46" s="623"/>
      <c r="R46" s="35">
        <f>R44+T30</f>
        <v>139.27000000000001</v>
      </c>
      <c r="S46" s="637" t="s">
        <v>42</v>
      </c>
      <c r="T46" s="637"/>
      <c r="U46" s="108">
        <f>SUM(U44,U30)</f>
        <v>747449.01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3021949.16</v>
      </c>
      <c r="G51" s="109" t="s">
        <v>6</v>
      </c>
      <c r="H51" s="415">
        <v>4.5199999999999997E-2</v>
      </c>
      <c r="I51" s="101">
        <f>ROUND(F51*H51,2)</f>
        <v>136592.1</v>
      </c>
      <c r="N51" s="420"/>
      <c r="O51" s="421" t="s">
        <v>422</v>
      </c>
      <c r="P51" s="28"/>
      <c r="Q51" s="44" t="s">
        <v>423</v>
      </c>
      <c r="R51" s="422">
        <f>U30</f>
        <v>747449.01</v>
      </c>
      <c r="S51" s="423" t="s">
        <v>6</v>
      </c>
      <c r="T51" s="424">
        <v>4.5199999999999997E-2</v>
      </c>
      <c r="U51" s="416">
        <f>ROUND(R51*T51,2)</f>
        <v>33784.699999999997</v>
      </c>
    </row>
    <row r="52" spans="1:22" x14ac:dyDescent="0.25">
      <c r="A52" s="26"/>
      <c r="B52" s="81" t="s">
        <v>424</v>
      </c>
      <c r="C52" s="26"/>
      <c r="D52" s="26"/>
      <c r="E52" s="43" t="s">
        <v>423</v>
      </c>
      <c r="F52" s="414">
        <v>3021949.16</v>
      </c>
      <c r="G52" s="109" t="s">
        <v>6</v>
      </c>
      <c r="H52" s="415">
        <v>1.41E-2</v>
      </c>
      <c r="I52" s="101">
        <f>ROUND(F52*H52,2)</f>
        <v>42609.48</v>
      </c>
      <c r="N52" s="28"/>
      <c r="O52" s="397" t="s">
        <v>424</v>
      </c>
      <c r="P52" s="28"/>
      <c r="Q52" s="44" t="s">
        <v>423</v>
      </c>
      <c r="R52" s="422">
        <f>U30</f>
        <v>747449.01</v>
      </c>
      <c r="S52" s="423" t="s">
        <v>6</v>
      </c>
      <c r="T52" s="424">
        <v>1.41E-2</v>
      </c>
      <c r="U52" s="425">
        <f>ROUND(R52*T52,2)</f>
        <v>10539.03</v>
      </c>
    </row>
    <row r="53" spans="1:22" x14ac:dyDescent="0.25">
      <c r="A53" s="26"/>
      <c r="B53" s="81" t="s">
        <v>425</v>
      </c>
      <c r="C53" s="26"/>
      <c r="D53" s="26"/>
      <c r="E53" s="43"/>
      <c r="F53" s="414"/>
      <c r="G53" s="109"/>
      <c r="H53" s="415"/>
      <c r="I53" s="97">
        <f>SUM(I51:I52)</f>
        <v>179201.58000000002</v>
      </c>
      <c r="N53" s="28"/>
      <c r="O53" s="397" t="s">
        <v>425</v>
      </c>
      <c r="P53" s="28"/>
      <c r="Q53" s="44"/>
      <c r="R53" s="422"/>
      <c r="S53" s="423"/>
      <c r="T53" s="424"/>
      <c r="U53" s="416">
        <f>SUM(U51:U52)</f>
        <v>44323.729999999996</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0.48</v>
      </c>
      <c r="E57" s="116">
        <f t="shared" ref="E57:E65" si="10">IF(D$66=0,C57*2,C57+D57)</f>
        <v>0.48</v>
      </c>
      <c r="F57" s="456" t="s">
        <v>462</v>
      </c>
      <c r="G57" s="456">
        <v>251</v>
      </c>
      <c r="H57" s="470">
        <f>'1461'!H57</f>
        <v>1047</v>
      </c>
      <c r="I57" s="101">
        <f>ROUND(E57*H57,2)</f>
        <v>502.56</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3.5</v>
      </c>
      <c r="D65" s="143">
        <v>4</v>
      </c>
      <c r="E65" s="116">
        <f t="shared" si="10"/>
        <v>7.5</v>
      </c>
      <c r="F65" s="457" t="s">
        <v>14</v>
      </c>
      <c r="G65" s="456">
        <v>253</v>
      </c>
      <c r="H65" s="470">
        <f>'1461'!H65</f>
        <v>6685</v>
      </c>
      <c r="I65" s="101">
        <f t="shared" si="11"/>
        <v>50137.5</v>
      </c>
      <c r="N65" s="639"/>
      <c r="O65" s="639"/>
      <c r="P65" s="643"/>
      <c r="Q65" s="643"/>
      <c r="R65" s="40" t="s">
        <v>14</v>
      </c>
      <c r="S65" s="462">
        <v>253</v>
      </c>
      <c r="T65" s="473">
        <f t="shared" si="12"/>
        <v>6685</v>
      </c>
      <c r="U65" s="488">
        <f t="shared" si="13"/>
        <v>0</v>
      </c>
      <c r="V65" s="438"/>
    </row>
    <row r="66" spans="1:22" ht="16.5" thickBot="1" x14ac:dyDescent="0.3">
      <c r="A66" s="453"/>
      <c r="C66" s="97">
        <f>SUM(C57:C65)</f>
        <v>3.5</v>
      </c>
      <c r="D66" s="97">
        <f>SUM(D57:D65)</f>
        <v>4.4800000000000004</v>
      </c>
      <c r="E66" s="97">
        <f>SUM(E57:E65)</f>
        <v>7.98</v>
      </c>
      <c r="F66" s="608" t="s">
        <v>471</v>
      </c>
      <c r="G66" s="608"/>
      <c r="H66" s="608"/>
      <c r="I66" s="97">
        <f>SUM(I57:I65)</f>
        <v>50640.06</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139.26999999999998</v>
      </c>
      <c r="D69" s="583" t="s">
        <v>437</v>
      </c>
      <c r="E69" s="583"/>
      <c r="F69" s="583"/>
      <c r="G69" s="583"/>
      <c r="H69" s="299">
        <f>'1461'!H69</f>
        <v>202683.97</v>
      </c>
      <c r="I69" s="113"/>
      <c r="N69" s="620" t="s">
        <v>430</v>
      </c>
      <c r="O69" s="621"/>
      <c r="P69" s="41">
        <f>P30</f>
        <v>139.26999999999998</v>
      </c>
      <c r="Q69" s="626" t="s">
        <v>432</v>
      </c>
      <c r="R69" s="627"/>
      <c r="S69" s="627"/>
      <c r="T69" s="624">
        <f>H69</f>
        <v>202683.97</v>
      </c>
      <c r="U69" s="624"/>
    </row>
    <row r="70" spans="1:22" x14ac:dyDescent="0.25">
      <c r="B70" s="69"/>
      <c r="G70" s="42" t="s">
        <v>12</v>
      </c>
      <c r="H70" s="114">
        <f>ROUND(C69/H69,6)</f>
        <v>6.87E-4</v>
      </c>
      <c r="I70" s="115"/>
      <c r="N70" s="621"/>
      <c r="O70" s="621"/>
      <c r="P70" s="621"/>
      <c r="Q70" s="621"/>
      <c r="R70" s="621"/>
      <c r="S70" s="621"/>
      <c r="T70" s="625">
        <f>ROUND(P69/T69,6)</f>
        <v>6.87E-4</v>
      </c>
      <c r="U70" s="625"/>
    </row>
    <row r="71" spans="1:22" x14ac:dyDescent="0.25">
      <c r="A71" s="455" t="s">
        <v>474</v>
      </c>
      <c r="N71" s="466" t="s">
        <v>482</v>
      </c>
      <c r="O71" s="51"/>
      <c r="P71" s="51"/>
      <c r="Q71" s="51"/>
      <c r="R71" s="51"/>
      <c r="S71" s="51"/>
      <c r="T71" s="51"/>
      <c r="U71" s="51"/>
    </row>
    <row r="72" spans="1:22" x14ac:dyDescent="0.25">
      <c r="A72" s="602" t="s">
        <v>427</v>
      </c>
      <c r="B72" s="596"/>
      <c r="C72" s="112">
        <f>H30</f>
        <v>637.46069999999997</v>
      </c>
      <c r="D72" s="583" t="s">
        <v>438</v>
      </c>
      <c r="E72" s="583"/>
      <c r="F72" s="583"/>
      <c r="G72" s="583"/>
      <c r="H72" s="300">
        <f>'1461'!H72</f>
        <v>228068.32</v>
      </c>
      <c r="I72" s="116"/>
      <c r="N72" s="620" t="s">
        <v>431</v>
      </c>
      <c r="O72" s="621"/>
      <c r="P72" s="41">
        <f>T30</f>
        <v>139.27000000000001</v>
      </c>
      <c r="Q72" s="626" t="s">
        <v>433</v>
      </c>
      <c r="R72" s="627"/>
      <c r="S72" s="627"/>
      <c r="T72" s="624">
        <f>H72</f>
        <v>228068.32</v>
      </c>
      <c r="U72" s="624"/>
    </row>
    <row r="73" spans="1:22" x14ac:dyDescent="0.25">
      <c r="G73" s="42" t="s">
        <v>12</v>
      </c>
      <c r="H73" s="114">
        <f>ROUND(C72/H72,6)</f>
        <v>2.7950000000000002E-3</v>
      </c>
      <c r="I73" s="114"/>
      <c r="N73" s="621"/>
      <c r="O73" s="621"/>
      <c r="P73" s="621"/>
      <c r="Q73" s="621"/>
      <c r="R73" s="621"/>
      <c r="S73" s="621"/>
      <c r="T73" s="625">
        <f>ROUND(P72/T72,6)</f>
        <v>6.11E-4</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139.26999999999998</v>
      </c>
      <c r="D75" s="575" t="s">
        <v>439</v>
      </c>
      <c r="E75" s="575"/>
      <c r="F75" s="575"/>
      <c r="G75" s="575"/>
      <c r="H75" s="299">
        <f>'1461'!H75</f>
        <v>186715.72</v>
      </c>
      <c r="I75" s="113"/>
      <c r="N75" s="620" t="s">
        <v>429</v>
      </c>
      <c r="O75" s="621"/>
      <c r="P75" s="41">
        <f>P30</f>
        <v>139.26999999999998</v>
      </c>
      <c r="Q75" s="656" t="s">
        <v>434</v>
      </c>
      <c r="R75" s="657"/>
      <c r="S75" s="657"/>
      <c r="T75" s="624">
        <f>H75</f>
        <v>186715.72</v>
      </c>
      <c r="U75" s="624"/>
    </row>
    <row r="76" spans="1:22" x14ac:dyDescent="0.25">
      <c r="B76" s="69"/>
      <c r="G76" s="42" t="s">
        <v>12</v>
      </c>
      <c r="H76" s="114">
        <f>ROUND(C75/H75,6)</f>
        <v>7.4600000000000003E-4</v>
      </c>
      <c r="I76" s="115"/>
      <c r="N76" s="621"/>
      <c r="O76" s="621"/>
      <c r="P76" s="621"/>
      <c r="Q76" s="621"/>
      <c r="R76" s="621"/>
      <c r="S76" s="621"/>
      <c r="T76" s="625">
        <f>ROUND(P75/T75,6)</f>
        <v>7.4600000000000003E-4</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139.26999999999998</v>
      </c>
      <c r="D78" s="603" t="s">
        <v>440</v>
      </c>
      <c r="E78" s="603"/>
      <c r="F78" s="603"/>
      <c r="G78" s="603"/>
      <c r="H78" s="299">
        <f>'1461'!H78</f>
        <v>202339.94</v>
      </c>
      <c r="I78" s="113"/>
      <c r="N78" s="620" t="s">
        <v>429</v>
      </c>
      <c r="O78" s="621"/>
      <c r="P78" s="41">
        <f>P30</f>
        <v>139.26999999999998</v>
      </c>
      <c r="Q78" s="654" t="s">
        <v>435</v>
      </c>
      <c r="R78" s="655"/>
      <c r="S78" s="655"/>
      <c r="T78" s="624">
        <f>H78</f>
        <v>202339.94</v>
      </c>
      <c r="U78" s="624"/>
    </row>
    <row r="79" spans="1:22" x14ac:dyDescent="0.25">
      <c r="B79" s="69"/>
      <c r="G79" s="42" t="s">
        <v>12</v>
      </c>
      <c r="H79" s="114">
        <f>ROUND(C78/H78,6)</f>
        <v>6.8800000000000003E-4</v>
      </c>
      <c r="I79" s="115"/>
      <c r="N79" s="621"/>
      <c r="O79" s="621"/>
      <c r="P79" s="621"/>
      <c r="Q79" s="621"/>
      <c r="R79" s="621"/>
      <c r="S79" s="621"/>
      <c r="T79" s="625">
        <f>ROUND(P78/T78,6)</f>
        <v>6.8800000000000003E-4</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139.26999999999998</v>
      </c>
      <c r="D81" s="575" t="s">
        <v>441</v>
      </c>
      <c r="E81" s="575"/>
      <c r="F81" s="575"/>
      <c r="G81" s="575"/>
      <c r="H81" s="299">
        <f>'1461'!H81</f>
        <v>186371.69</v>
      </c>
      <c r="I81" s="113"/>
      <c r="N81" s="620" t="s">
        <v>442</v>
      </c>
      <c r="O81" s="621"/>
      <c r="P81" s="41">
        <f>P30</f>
        <v>139.26999999999998</v>
      </c>
      <c r="Q81" s="656" t="s">
        <v>443</v>
      </c>
      <c r="R81" s="657"/>
      <c r="S81" s="657"/>
      <c r="T81" s="624">
        <f>H81</f>
        <v>186371.69</v>
      </c>
      <c r="U81" s="624"/>
    </row>
    <row r="82" spans="1:21" x14ac:dyDescent="0.25">
      <c r="B82" s="69"/>
      <c r="G82" s="42" t="s">
        <v>12</v>
      </c>
      <c r="H82" s="114">
        <f>ROUND(C81/H81,6)</f>
        <v>7.4700000000000005E-4</v>
      </c>
      <c r="I82" s="115"/>
      <c r="N82" s="621"/>
      <c r="O82" s="621"/>
      <c r="P82" s="621"/>
      <c r="Q82" s="621"/>
      <c r="R82" s="621"/>
      <c r="S82" s="621"/>
      <c r="T82" s="625">
        <f>ROUND(P81/T81,6)</f>
        <v>7.4700000000000005E-4</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6.8800000000000003E-4</v>
      </c>
      <c r="I85" s="101">
        <f>ROUND(F85*H85,2)</f>
        <v>30617.82</v>
      </c>
      <c r="N85" s="466" t="s">
        <v>478</v>
      </c>
      <c r="O85" s="51"/>
      <c r="P85" s="51"/>
      <c r="Q85" s="44"/>
      <c r="R85" s="433">
        <f>F85</f>
        <v>44502646</v>
      </c>
      <c r="S85" s="38" t="s">
        <v>6</v>
      </c>
      <c r="T85" s="435">
        <f>T79</f>
        <v>6.8800000000000003E-4</v>
      </c>
      <c r="U85" s="486">
        <f>ROUND(R85*T85,2)</f>
        <v>30617.82</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6.87E-4</v>
      </c>
      <c r="I88" s="101">
        <f>ROUND(F88*H88,2)</f>
        <v>0</v>
      </c>
      <c r="N88" s="658" t="s">
        <v>99</v>
      </c>
      <c r="O88" s="621"/>
      <c r="P88" s="621"/>
      <c r="Q88" s="44"/>
      <c r="R88" s="433">
        <f>F88</f>
        <v>0</v>
      </c>
      <c r="S88" s="38" t="s">
        <v>6</v>
      </c>
      <c r="T88" s="435">
        <f>T70</f>
        <v>6.87E-4</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7.4700000000000005E-4</v>
      </c>
      <c r="I90" s="101">
        <f>ROUND(F90*H90,2)</f>
        <v>12182.95</v>
      </c>
      <c r="N90" s="466" t="s">
        <v>479</v>
      </c>
      <c r="O90" s="51"/>
      <c r="P90" s="51"/>
      <c r="Q90" s="44"/>
      <c r="R90" s="433">
        <f>F90</f>
        <v>16309168</v>
      </c>
      <c r="S90" s="38" t="s">
        <v>6</v>
      </c>
      <c r="T90" s="435">
        <f>T82</f>
        <v>7.4700000000000005E-4</v>
      </c>
      <c r="U90" s="486">
        <f>ROUND(R90*T90,2)</f>
        <v>12182.95</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7.4600000000000003E-4</v>
      </c>
      <c r="I92" s="101">
        <f t="shared" ref="I92:I96" si="14">ROUND(F92*H92,2)</f>
        <v>7570.9</v>
      </c>
      <c r="N92" s="466" t="s">
        <v>480</v>
      </c>
      <c r="O92" s="51"/>
      <c r="P92" s="51"/>
      <c r="Q92" s="44"/>
      <c r="R92" s="433">
        <f t="shared" ref="R92:R96" si="15">F92</f>
        <v>10148654</v>
      </c>
      <c r="S92" s="38" t="s">
        <v>6</v>
      </c>
      <c r="T92" s="435">
        <f>T76</f>
        <v>7.4600000000000003E-4</v>
      </c>
      <c r="U92" s="486">
        <f>ROUND(R92*T92,2)</f>
        <v>7570.9</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2.7950000000000002E-3</v>
      </c>
      <c r="I94" s="101">
        <f t="shared" si="14"/>
        <v>667998.5</v>
      </c>
      <c r="N94" s="621" t="s">
        <v>445</v>
      </c>
      <c r="O94" s="621"/>
      <c r="P94" s="621"/>
      <c r="Q94" s="44"/>
      <c r="R94" s="433">
        <f t="shared" si="15"/>
        <v>238997674</v>
      </c>
      <c r="S94" s="38" t="s">
        <v>6</v>
      </c>
      <c r="T94" s="435">
        <f>T73</f>
        <v>6.11E-4</v>
      </c>
      <c r="U94" s="486">
        <f>ROUND(R94*T94,2)</f>
        <v>146027.57999999999</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2.7950000000000002E-3</v>
      </c>
      <c r="I96" s="101">
        <f t="shared" si="14"/>
        <v>0</v>
      </c>
      <c r="N96" s="620" t="s">
        <v>446</v>
      </c>
      <c r="O96" s="621"/>
      <c r="P96" s="621"/>
      <c r="Q96" s="44"/>
      <c r="R96" s="433">
        <f t="shared" si="15"/>
        <v>0</v>
      </c>
      <c r="S96" s="38" t="s">
        <v>6</v>
      </c>
      <c r="T96" s="435">
        <f>T73</f>
        <v>6.11E-4</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6.87E-4</v>
      </c>
      <c r="I98" s="101">
        <f t="shared" ref="I98" si="16">ROUND(F98*H98,2)</f>
        <v>0</v>
      </c>
      <c r="N98" s="542" t="s">
        <v>525</v>
      </c>
      <c r="O98" s="542"/>
      <c r="P98" s="542"/>
      <c r="Q98" s="44"/>
      <c r="R98" s="545">
        <f>F98</f>
        <v>0</v>
      </c>
      <c r="S98" s="543" t="s">
        <v>6</v>
      </c>
      <c r="T98" s="435">
        <f>T70</f>
        <v>6.87E-4</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25.123100000000001</v>
      </c>
      <c r="D104" s="614"/>
      <c r="E104" s="46">
        <f>H8</f>
        <v>1.0442</v>
      </c>
      <c r="F104" s="302">
        <f>'1461'!F104</f>
        <v>947.59</v>
      </c>
      <c r="G104" s="39" t="s">
        <v>12</v>
      </c>
      <c r="H104" s="101">
        <f>ROUND(C104*E104*F104,2)</f>
        <v>24858.639999999999</v>
      </c>
      <c r="I104" s="104"/>
      <c r="N104" s="28" t="s">
        <v>17</v>
      </c>
      <c r="O104" s="47">
        <f>T14+T15+T20+T23+T26</f>
        <v>6.3199999999999994</v>
      </c>
      <c r="P104" s="631">
        <f>T8</f>
        <v>1.0442</v>
      </c>
      <c r="Q104" s="631"/>
      <c r="R104" s="48">
        <f>F104</f>
        <v>947.59</v>
      </c>
      <c r="S104" s="40" t="s">
        <v>12</v>
      </c>
      <c r="T104" s="492">
        <f>ROUND(O104*P104*R104,2)</f>
        <v>6253.47</v>
      </c>
      <c r="U104" s="102"/>
    </row>
    <row r="105" spans="1:21" x14ac:dyDescent="0.25">
      <c r="A105" s="49"/>
      <c r="B105" s="49" t="s">
        <v>104</v>
      </c>
      <c r="C105" s="614">
        <f>H16+H17+H21+H24+H27</f>
        <v>49.283100000000005</v>
      </c>
      <c r="D105" s="614"/>
      <c r="E105" s="46">
        <f>H8</f>
        <v>1.0442</v>
      </c>
      <c r="F105" s="302">
        <f>'1461'!F105</f>
        <v>904.74</v>
      </c>
      <c r="G105" s="39" t="s">
        <v>12</v>
      </c>
      <c r="H105" s="101">
        <f>ROUND(C105*E105*F105,2)</f>
        <v>46559.199999999997</v>
      </c>
      <c r="N105" s="50" t="s">
        <v>13</v>
      </c>
      <c r="O105" s="47">
        <f>T16+T17+T21+T24+T27</f>
        <v>11.7</v>
      </c>
      <c r="P105" s="631">
        <f>T8</f>
        <v>1.0442</v>
      </c>
      <c r="Q105" s="631"/>
      <c r="R105" s="48">
        <f>F105</f>
        <v>904.74</v>
      </c>
      <c r="S105" s="40" t="s">
        <v>12</v>
      </c>
      <c r="T105" s="492">
        <f>ROUND(O105*P105*R105,2)</f>
        <v>11053.34</v>
      </c>
      <c r="U105" s="51"/>
    </row>
    <row r="106" spans="1:21" ht="16.5" thickBot="1" x14ac:dyDescent="0.3">
      <c r="A106" s="52"/>
      <c r="B106" s="52" t="s">
        <v>103</v>
      </c>
      <c r="C106" s="614">
        <f>H18+H19+H22+H25+H28+H29</f>
        <v>563.05449999999996</v>
      </c>
      <c r="D106" s="614"/>
      <c r="E106" s="46">
        <f>H8</f>
        <v>1.0442</v>
      </c>
      <c r="F106" s="302">
        <f>'1461'!F106</f>
        <v>906.93</v>
      </c>
      <c r="G106" s="39" t="s">
        <v>12</v>
      </c>
      <c r="H106" s="94">
        <f>ROUND(C106*E106*F106,2)</f>
        <v>533221.79</v>
      </c>
      <c r="N106" s="53" t="s">
        <v>14</v>
      </c>
      <c r="O106" s="54">
        <f>T18+T19+T22+T25+T28+T29</f>
        <v>121.25</v>
      </c>
      <c r="P106" s="631">
        <f>T8</f>
        <v>1.0442</v>
      </c>
      <c r="Q106" s="631"/>
      <c r="R106" s="48">
        <f>F106</f>
        <v>906.93</v>
      </c>
      <c r="S106" s="40" t="s">
        <v>12</v>
      </c>
      <c r="T106" s="492">
        <f>ROUND(O106*P106*R106,2)</f>
        <v>114825.73</v>
      </c>
      <c r="U106" s="51"/>
    </row>
    <row r="107" spans="1:21" ht="16.5" thickBot="1" x14ac:dyDescent="0.3">
      <c r="A107" s="55"/>
      <c r="B107" s="122" t="s">
        <v>102</v>
      </c>
      <c r="C107" s="604">
        <f>SUM(C104:C106)</f>
        <v>637.46069999999997</v>
      </c>
      <c r="D107" s="604"/>
      <c r="E107" s="123"/>
      <c r="F107" s="123"/>
      <c r="G107" s="123"/>
      <c r="H107" s="124" t="s">
        <v>100</v>
      </c>
      <c r="I107" s="101">
        <f>IF(A1=75,0,H106+H105+H104)</f>
        <v>604639.63</v>
      </c>
      <c r="N107" s="56" t="s">
        <v>89</v>
      </c>
      <c r="O107" s="57">
        <f>SUM(O104:O106)</f>
        <v>139.27000000000001</v>
      </c>
      <c r="P107" s="632" t="s">
        <v>16</v>
      </c>
      <c r="Q107" s="633"/>
      <c r="R107" s="633"/>
      <c r="S107" s="633"/>
      <c r="T107" s="633"/>
      <c r="U107" s="486">
        <f>IF(N1=75,0,T106+T105+T104)</f>
        <v>132132.53999999998</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0</v>
      </c>
      <c r="D113" s="143">
        <v>0</v>
      </c>
      <c r="E113" s="116">
        <f>C113</f>
        <v>0</v>
      </c>
      <c r="F113" s="126" t="s">
        <v>30</v>
      </c>
      <c r="G113" s="303">
        <f>'1461'!G113</f>
        <v>536</v>
      </c>
      <c r="I113" s="101">
        <f>ROUND(G113*E113,2)</f>
        <v>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4794841.5600000005</v>
      </c>
      <c r="N128" s="466"/>
      <c r="O128" s="465"/>
      <c r="P128" s="465"/>
      <c r="Q128" s="305"/>
      <c r="R128" s="305"/>
      <c r="S128" s="305"/>
      <c r="T128" s="305"/>
      <c r="U128" s="493">
        <f>SUM(U30,U85,U88,U90,U92,U94,U96,U107,U113,U114,U124,U126)</f>
        <v>1075980.7999999998</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4615639.9800000004</v>
      </c>
      <c r="N130" s="621" t="s">
        <v>457</v>
      </c>
      <c r="O130" s="621"/>
      <c r="P130" s="621"/>
      <c r="Q130" s="621"/>
      <c r="R130" s="621"/>
      <c r="S130" s="621"/>
      <c r="T130" s="621"/>
      <c r="U130" s="132">
        <f>U128-U53</f>
        <v>1031657.0699999998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f>IF(E30=0,"",IF((E15+E17+SUM(E19:E25))/E30&gt;0.75,1,""))</f>
        <v>1</v>
      </c>
      <c r="I133" s="116">
        <f>U130</f>
        <v>1031657.0699999998</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1031657.0699999998</v>
      </c>
      <c r="I135" s="94">
        <f>ROUND(IF(E30=0,0,IF(E30&gt;250,-(((250/E30)*H135)*IF(G135="H",0.02,0.05)),IF(G135="H",-0.02*H135,-0.05*H135))),2)</f>
        <v>-51582.85</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4743258.7100000009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-4749961.1900000004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-6702.4799999995157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-6702.48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topLeftCell="A10" workbookViewId="0">
      <selection activeCell="E52" sqref="E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384</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36.49</v>
      </c>
      <c r="D19" s="143">
        <v>35.97</v>
      </c>
      <c r="E19" s="116">
        <f t="shared" si="1"/>
        <v>72.460000000000008</v>
      </c>
      <c r="F19" s="679">
        <f>'1461'!F19:G19</f>
        <v>0.98799999999999999</v>
      </c>
      <c r="G19" s="679"/>
      <c r="H19" s="80">
        <f t="shared" si="2"/>
        <v>71.590500000000006</v>
      </c>
      <c r="I19" s="101">
        <f t="shared" si="3"/>
        <v>384219.49</v>
      </c>
      <c r="J19" s="65" t="str">
        <f>IF(ROUND(E19,2)=ROUND(SUM(E63:E65),2)," ","CHECK 4-8 LINES BELOW")</f>
        <v xml:space="preserve"> </v>
      </c>
      <c r="N19" s="621" t="s">
        <v>25</v>
      </c>
      <c r="O19" s="621"/>
      <c r="P19" s="662">
        <f t="shared" si="0"/>
        <v>72.460000000000008</v>
      </c>
      <c r="Q19" s="662"/>
      <c r="R19" s="667">
        <v>1</v>
      </c>
      <c r="S19" s="667"/>
      <c r="T19" s="95">
        <f t="shared" si="4"/>
        <v>72.459999999999994</v>
      </c>
      <c r="U19" s="485">
        <f t="shared" si="5"/>
        <v>388886.01</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36.49</v>
      </c>
      <c r="D30" s="94">
        <f>SUM(D14:D29)</f>
        <v>35.97</v>
      </c>
      <c r="E30" s="94">
        <f>SUM(E14:E29)</f>
        <v>72.460000000000008</v>
      </c>
      <c r="F30" s="600"/>
      <c r="G30" s="600"/>
      <c r="H30" s="99">
        <f>SUM(H14:H29)</f>
        <v>71.590500000000006</v>
      </c>
      <c r="I30" s="94">
        <f>SUM(I14:I29)</f>
        <v>384219.49</v>
      </c>
      <c r="N30" s="664" t="s">
        <v>5</v>
      </c>
      <c r="O30" s="664"/>
      <c r="P30" s="665">
        <f>SUM(P14:P29)</f>
        <v>72.460000000000008</v>
      </c>
      <c r="Q30" s="665"/>
      <c r="R30" s="637"/>
      <c r="S30" s="637"/>
      <c r="T30" s="100">
        <f>SUM(T14:T29)</f>
        <v>72.459999999999994</v>
      </c>
      <c r="U30" s="486">
        <f>SUM(U14:U29)</f>
        <v>388886.01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71.590500000000006</v>
      </c>
      <c r="F46" s="34"/>
      <c r="G46" s="106"/>
      <c r="H46" s="107" t="s">
        <v>98</v>
      </c>
      <c r="I46" s="94">
        <f>SUM(I44,I30)</f>
        <v>384219.49</v>
      </c>
      <c r="N46" s="623" t="s">
        <v>44</v>
      </c>
      <c r="O46" s="623"/>
      <c r="P46" s="623"/>
      <c r="Q46" s="623"/>
      <c r="R46" s="35">
        <f>R44+T30</f>
        <v>72.459999999999994</v>
      </c>
      <c r="S46" s="637" t="s">
        <v>42</v>
      </c>
      <c r="T46" s="637"/>
      <c r="U46" s="108">
        <f>SUM(U44,U30)</f>
        <v>388886.01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262155.65000000002</v>
      </c>
      <c r="G51" s="109" t="s">
        <v>6</v>
      </c>
      <c r="H51" s="415">
        <v>4.5199999999999997E-2</v>
      </c>
      <c r="I51" s="101">
        <f>ROUND(F51*H51,2)</f>
        <v>11849.44</v>
      </c>
      <c r="N51" s="420"/>
      <c r="O51" s="421" t="s">
        <v>422</v>
      </c>
      <c r="P51" s="28"/>
      <c r="Q51" s="44" t="s">
        <v>423</v>
      </c>
      <c r="R51" s="422">
        <f>U30</f>
        <v>388886.01</v>
      </c>
      <c r="S51" s="423" t="s">
        <v>6</v>
      </c>
      <c r="T51" s="424">
        <v>4.5199999999999997E-2</v>
      </c>
      <c r="U51" s="416">
        <f>ROUND(R51*T51,2)</f>
        <v>17577.650000000001</v>
      </c>
    </row>
    <row r="52" spans="1:22" x14ac:dyDescent="0.25">
      <c r="A52" s="26"/>
      <c r="B52" s="81" t="s">
        <v>424</v>
      </c>
      <c r="C52" s="26"/>
      <c r="D52" s="26"/>
      <c r="E52" s="43" t="s">
        <v>423</v>
      </c>
      <c r="F52" s="414">
        <v>262155.65000000002</v>
      </c>
      <c r="G52" s="109" t="s">
        <v>6</v>
      </c>
      <c r="H52" s="415">
        <v>1.41E-2</v>
      </c>
      <c r="I52" s="101">
        <f>ROUND(F52*H52,2)</f>
        <v>3696.39</v>
      </c>
      <c r="N52" s="28"/>
      <c r="O52" s="397" t="s">
        <v>424</v>
      </c>
      <c r="P52" s="28"/>
      <c r="Q52" s="44" t="s">
        <v>423</v>
      </c>
      <c r="R52" s="422">
        <f>U30</f>
        <v>388886.01</v>
      </c>
      <c r="S52" s="423" t="s">
        <v>6</v>
      </c>
      <c r="T52" s="424">
        <v>1.41E-2</v>
      </c>
      <c r="U52" s="425">
        <f>ROUND(R52*T52,2)</f>
        <v>5483.29</v>
      </c>
    </row>
    <row r="53" spans="1:22" x14ac:dyDescent="0.25">
      <c r="A53" s="26"/>
      <c r="B53" s="81" t="s">
        <v>425</v>
      </c>
      <c r="C53" s="26"/>
      <c r="D53" s="26"/>
      <c r="E53" s="43"/>
      <c r="F53" s="414"/>
      <c r="G53" s="109"/>
      <c r="H53" s="415"/>
      <c r="I53" s="97">
        <f>SUM(I51:I52)</f>
        <v>15545.83</v>
      </c>
      <c r="N53" s="28"/>
      <c r="O53" s="397" t="s">
        <v>425</v>
      </c>
      <c r="P53" s="28"/>
      <c r="Q53" s="44"/>
      <c r="R53" s="422"/>
      <c r="S53" s="423"/>
      <c r="T53" s="424"/>
      <c r="U53" s="416">
        <f>SUM(U51:U52)</f>
        <v>23060.940000000002</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1</v>
      </c>
      <c r="D63" s="143">
        <v>0</v>
      </c>
      <c r="E63" s="116">
        <f t="shared" si="10"/>
        <v>1</v>
      </c>
      <c r="F63" s="457" t="s">
        <v>14</v>
      </c>
      <c r="G63" s="456">
        <v>251</v>
      </c>
      <c r="H63" s="470">
        <f>'1461'!H63</f>
        <v>835</v>
      </c>
      <c r="I63" s="101">
        <f t="shared" si="11"/>
        <v>835</v>
      </c>
      <c r="N63" s="639"/>
      <c r="O63" s="639"/>
      <c r="P63" s="642"/>
      <c r="Q63" s="642"/>
      <c r="R63" s="40" t="s">
        <v>14</v>
      </c>
      <c r="S63" s="462">
        <v>251</v>
      </c>
      <c r="T63" s="473">
        <f t="shared" si="12"/>
        <v>835</v>
      </c>
      <c r="U63" s="487">
        <f t="shared" si="13"/>
        <v>0</v>
      </c>
      <c r="V63" s="438"/>
    </row>
    <row r="64" spans="1:22" x14ac:dyDescent="0.25">
      <c r="A64" s="607"/>
      <c r="B64" s="607"/>
      <c r="C64" s="143">
        <v>3</v>
      </c>
      <c r="D64" s="143">
        <v>4.42</v>
      </c>
      <c r="E64" s="116">
        <f t="shared" si="10"/>
        <v>7.42</v>
      </c>
      <c r="F64" s="457" t="s">
        <v>14</v>
      </c>
      <c r="G64" s="456">
        <v>252</v>
      </c>
      <c r="H64" s="470">
        <f>'1461'!H64</f>
        <v>3168</v>
      </c>
      <c r="I64" s="101">
        <f t="shared" si="11"/>
        <v>23506.560000000001</v>
      </c>
      <c r="N64" s="639"/>
      <c r="O64" s="639"/>
      <c r="P64" s="642"/>
      <c r="Q64" s="642"/>
      <c r="R64" s="40" t="s">
        <v>14</v>
      </c>
      <c r="S64" s="462">
        <v>252</v>
      </c>
      <c r="T64" s="473">
        <f t="shared" si="12"/>
        <v>3168</v>
      </c>
      <c r="U64" s="487">
        <f t="shared" si="13"/>
        <v>0</v>
      </c>
      <c r="V64" s="438"/>
    </row>
    <row r="65" spans="1:22" ht="16.5" thickBot="1" x14ac:dyDescent="0.3">
      <c r="A65" s="607"/>
      <c r="B65" s="607"/>
      <c r="C65" s="143">
        <v>32.49</v>
      </c>
      <c r="D65" s="143">
        <v>31.55</v>
      </c>
      <c r="E65" s="116">
        <f t="shared" si="10"/>
        <v>64.040000000000006</v>
      </c>
      <c r="F65" s="457" t="s">
        <v>14</v>
      </c>
      <c r="G65" s="456">
        <v>253</v>
      </c>
      <c r="H65" s="470">
        <f>'1461'!H65</f>
        <v>6685</v>
      </c>
      <c r="I65" s="101">
        <f t="shared" si="11"/>
        <v>428107.4</v>
      </c>
      <c r="N65" s="639"/>
      <c r="O65" s="639"/>
      <c r="P65" s="643"/>
      <c r="Q65" s="643"/>
      <c r="R65" s="40" t="s">
        <v>14</v>
      </c>
      <c r="S65" s="462">
        <v>253</v>
      </c>
      <c r="T65" s="473">
        <f t="shared" si="12"/>
        <v>6685</v>
      </c>
      <c r="U65" s="488">
        <f t="shared" si="13"/>
        <v>0</v>
      </c>
      <c r="V65" s="438"/>
    </row>
    <row r="66" spans="1:22" ht="16.5" thickBot="1" x14ac:dyDescent="0.3">
      <c r="A66" s="453"/>
      <c r="C66" s="97">
        <f>SUM(C57:C65)</f>
        <v>36.49</v>
      </c>
      <c r="D66" s="97">
        <f>SUM(D57:D65)</f>
        <v>35.97</v>
      </c>
      <c r="E66" s="97">
        <f>SUM(E57:E65)</f>
        <v>72.460000000000008</v>
      </c>
      <c r="F66" s="608" t="s">
        <v>471</v>
      </c>
      <c r="G66" s="608"/>
      <c r="H66" s="608"/>
      <c r="I66" s="97">
        <f>SUM(I57:I65)</f>
        <v>452448.96</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72.460000000000008</v>
      </c>
      <c r="D69" s="583" t="s">
        <v>437</v>
      </c>
      <c r="E69" s="583"/>
      <c r="F69" s="583"/>
      <c r="G69" s="583"/>
      <c r="H69" s="299">
        <f>'1461'!H69</f>
        <v>202683.97</v>
      </c>
      <c r="I69" s="113"/>
      <c r="N69" s="620" t="s">
        <v>430</v>
      </c>
      <c r="O69" s="621"/>
      <c r="P69" s="41">
        <f>P30</f>
        <v>72.460000000000008</v>
      </c>
      <c r="Q69" s="626" t="s">
        <v>432</v>
      </c>
      <c r="R69" s="627"/>
      <c r="S69" s="627"/>
      <c r="T69" s="624">
        <f>H69</f>
        <v>202683.97</v>
      </c>
      <c r="U69" s="624"/>
    </row>
    <row r="70" spans="1:22" x14ac:dyDescent="0.25">
      <c r="B70" s="69"/>
      <c r="G70" s="42" t="s">
        <v>12</v>
      </c>
      <c r="H70" s="114">
        <f>ROUND(C69/H69,6)</f>
        <v>3.5799999999999997E-4</v>
      </c>
      <c r="I70" s="115"/>
      <c r="N70" s="621"/>
      <c r="O70" s="621"/>
      <c r="P70" s="621"/>
      <c r="Q70" s="621"/>
      <c r="R70" s="621"/>
      <c r="S70" s="621"/>
      <c r="T70" s="625">
        <f>ROUND(P69/T69,6)</f>
        <v>3.5799999999999997E-4</v>
      </c>
      <c r="U70" s="625"/>
    </row>
    <row r="71" spans="1:22" x14ac:dyDescent="0.25">
      <c r="A71" s="455" t="s">
        <v>474</v>
      </c>
      <c r="N71" s="466" t="s">
        <v>482</v>
      </c>
      <c r="O71" s="51"/>
      <c r="P71" s="51"/>
      <c r="Q71" s="51"/>
      <c r="R71" s="51"/>
      <c r="S71" s="51"/>
      <c r="T71" s="51"/>
      <c r="U71" s="51"/>
    </row>
    <row r="72" spans="1:22" x14ac:dyDescent="0.25">
      <c r="A72" s="602" t="s">
        <v>427</v>
      </c>
      <c r="B72" s="596"/>
      <c r="C72" s="112">
        <f>H30</f>
        <v>71.590500000000006</v>
      </c>
      <c r="D72" s="583" t="s">
        <v>438</v>
      </c>
      <c r="E72" s="583"/>
      <c r="F72" s="583"/>
      <c r="G72" s="583"/>
      <c r="H72" s="300">
        <f>'1461'!H72</f>
        <v>228068.32</v>
      </c>
      <c r="I72" s="116"/>
      <c r="N72" s="620" t="s">
        <v>431</v>
      </c>
      <c r="O72" s="621"/>
      <c r="P72" s="41">
        <f>T30</f>
        <v>72.459999999999994</v>
      </c>
      <c r="Q72" s="626" t="s">
        <v>433</v>
      </c>
      <c r="R72" s="627"/>
      <c r="S72" s="627"/>
      <c r="T72" s="624">
        <f>H72</f>
        <v>228068.32</v>
      </c>
      <c r="U72" s="624"/>
    </row>
    <row r="73" spans="1:22" x14ac:dyDescent="0.25">
      <c r="G73" s="42" t="s">
        <v>12</v>
      </c>
      <c r="H73" s="114">
        <f>ROUND(C72/H72,6)</f>
        <v>3.1399999999999999E-4</v>
      </c>
      <c r="I73" s="114"/>
      <c r="N73" s="621"/>
      <c r="O73" s="621"/>
      <c r="P73" s="621"/>
      <c r="Q73" s="621"/>
      <c r="R73" s="621"/>
      <c r="S73" s="621"/>
      <c r="T73" s="625">
        <f>ROUND(P72/T72,6)</f>
        <v>3.1799999999999998E-4</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72.460000000000008</v>
      </c>
      <c r="D75" s="575" t="s">
        <v>439</v>
      </c>
      <c r="E75" s="575"/>
      <c r="F75" s="575"/>
      <c r="G75" s="575"/>
      <c r="H75" s="299">
        <f>'1461'!H75</f>
        <v>186715.72</v>
      </c>
      <c r="I75" s="113"/>
      <c r="N75" s="620" t="s">
        <v>429</v>
      </c>
      <c r="O75" s="621"/>
      <c r="P75" s="41">
        <f>P30</f>
        <v>72.460000000000008</v>
      </c>
      <c r="Q75" s="656" t="s">
        <v>434</v>
      </c>
      <c r="R75" s="657"/>
      <c r="S75" s="657"/>
      <c r="T75" s="624">
        <f>H75</f>
        <v>186715.72</v>
      </c>
      <c r="U75" s="624"/>
    </row>
    <row r="76" spans="1:22" x14ac:dyDescent="0.25">
      <c r="B76" s="69"/>
      <c r="G76" s="42" t="s">
        <v>12</v>
      </c>
      <c r="H76" s="114">
        <f>ROUND(C75/H75,6)</f>
        <v>3.88E-4</v>
      </c>
      <c r="I76" s="115"/>
      <c r="N76" s="621"/>
      <c r="O76" s="621"/>
      <c r="P76" s="621"/>
      <c r="Q76" s="621"/>
      <c r="R76" s="621"/>
      <c r="S76" s="621"/>
      <c r="T76" s="625">
        <f>ROUND(P75/T75,6)</f>
        <v>3.88E-4</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72.460000000000008</v>
      </c>
      <c r="D78" s="603" t="s">
        <v>440</v>
      </c>
      <c r="E78" s="603"/>
      <c r="F78" s="603"/>
      <c r="G78" s="603"/>
      <c r="H78" s="299">
        <f>'1461'!H78</f>
        <v>202339.94</v>
      </c>
      <c r="I78" s="113"/>
      <c r="N78" s="620" t="s">
        <v>429</v>
      </c>
      <c r="O78" s="621"/>
      <c r="P78" s="41">
        <f>P30</f>
        <v>72.460000000000008</v>
      </c>
      <c r="Q78" s="654" t="s">
        <v>435</v>
      </c>
      <c r="R78" s="655"/>
      <c r="S78" s="655"/>
      <c r="T78" s="624">
        <f>H78</f>
        <v>202339.94</v>
      </c>
      <c r="U78" s="624"/>
    </row>
    <row r="79" spans="1:22" x14ac:dyDescent="0.25">
      <c r="B79" s="69"/>
      <c r="G79" s="42" t="s">
        <v>12</v>
      </c>
      <c r="H79" s="114">
        <f>ROUND(C78/H78,6)</f>
        <v>3.5799999999999997E-4</v>
      </c>
      <c r="I79" s="115"/>
      <c r="N79" s="621"/>
      <c r="O79" s="621"/>
      <c r="P79" s="621"/>
      <c r="Q79" s="621"/>
      <c r="R79" s="621"/>
      <c r="S79" s="621"/>
      <c r="T79" s="625">
        <f>ROUND(P78/T78,6)</f>
        <v>3.5799999999999997E-4</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72.460000000000008</v>
      </c>
      <c r="D81" s="575" t="s">
        <v>441</v>
      </c>
      <c r="E81" s="575"/>
      <c r="F81" s="575"/>
      <c r="G81" s="575"/>
      <c r="H81" s="299">
        <f>'1461'!H81</f>
        <v>186371.69</v>
      </c>
      <c r="I81" s="113"/>
      <c r="N81" s="620" t="s">
        <v>442</v>
      </c>
      <c r="O81" s="621"/>
      <c r="P81" s="41">
        <f>P30</f>
        <v>72.460000000000008</v>
      </c>
      <c r="Q81" s="656" t="s">
        <v>443</v>
      </c>
      <c r="R81" s="657"/>
      <c r="S81" s="657"/>
      <c r="T81" s="624">
        <f>H81</f>
        <v>186371.69</v>
      </c>
      <c r="U81" s="624"/>
    </row>
    <row r="82" spans="1:21" x14ac:dyDescent="0.25">
      <c r="B82" s="69"/>
      <c r="G82" s="42" t="s">
        <v>12</v>
      </c>
      <c r="H82" s="114">
        <f>ROUND(C81/H81,6)</f>
        <v>3.8900000000000002E-4</v>
      </c>
      <c r="I82" s="115"/>
      <c r="N82" s="621"/>
      <c r="O82" s="621"/>
      <c r="P82" s="621"/>
      <c r="Q82" s="621"/>
      <c r="R82" s="621"/>
      <c r="S82" s="621"/>
      <c r="T82" s="625">
        <f>ROUND(P81/T81,6)</f>
        <v>3.8900000000000002E-4</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3.5799999999999997E-4</v>
      </c>
      <c r="I85" s="101">
        <f>ROUND(F85*H85,2)</f>
        <v>15931.95</v>
      </c>
      <c r="N85" s="466" t="s">
        <v>478</v>
      </c>
      <c r="O85" s="51"/>
      <c r="P85" s="51"/>
      <c r="Q85" s="44"/>
      <c r="R85" s="433">
        <f>F85</f>
        <v>44502646</v>
      </c>
      <c r="S85" s="38" t="s">
        <v>6</v>
      </c>
      <c r="T85" s="435">
        <f>T79</f>
        <v>3.5799999999999997E-4</v>
      </c>
      <c r="U85" s="486">
        <f>ROUND(R85*T85,2)</f>
        <v>15931.95</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3.5799999999999997E-4</v>
      </c>
      <c r="I88" s="101">
        <f>ROUND(F88*H88,2)</f>
        <v>0</v>
      </c>
      <c r="N88" s="658" t="s">
        <v>99</v>
      </c>
      <c r="O88" s="621"/>
      <c r="P88" s="621"/>
      <c r="Q88" s="44"/>
      <c r="R88" s="433">
        <f>F88</f>
        <v>0</v>
      </c>
      <c r="S88" s="38" t="s">
        <v>6</v>
      </c>
      <c r="T88" s="435">
        <f>T70</f>
        <v>3.5799999999999997E-4</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3.8900000000000002E-4</v>
      </c>
      <c r="I90" s="101">
        <f>ROUND(F90*H90,2)</f>
        <v>6344.27</v>
      </c>
      <c r="N90" s="466" t="s">
        <v>479</v>
      </c>
      <c r="O90" s="51"/>
      <c r="P90" s="51"/>
      <c r="Q90" s="44"/>
      <c r="R90" s="433">
        <f>F90</f>
        <v>16309168</v>
      </c>
      <c r="S90" s="38" t="s">
        <v>6</v>
      </c>
      <c r="T90" s="435">
        <f>T82</f>
        <v>3.8900000000000002E-4</v>
      </c>
      <c r="U90" s="486">
        <f>ROUND(R90*T90,2)</f>
        <v>6344.27</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3.88E-4</v>
      </c>
      <c r="I92" s="101">
        <f t="shared" ref="I92:I96" si="14">ROUND(F92*H92,2)</f>
        <v>3937.68</v>
      </c>
      <c r="N92" s="466" t="s">
        <v>480</v>
      </c>
      <c r="O92" s="51"/>
      <c r="P92" s="51"/>
      <c r="Q92" s="44"/>
      <c r="R92" s="433">
        <f t="shared" ref="R92:R96" si="15">F92</f>
        <v>10148654</v>
      </c>
      <c r="S92" s="38" t="s">
        <v>6</v>
      </c>
      <c r="T92" s="435">
        <f>T76</f>
        <v>3.88E-4</v>
      </c>
      <c r="U92" s="486">
        <f>ROUND(R92*T92,2)</f>
        <v>3937.68</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3.1399999999999999E-4</v>
      </c>
      <c r="I94" s="101">
        <f t="shared" si="14"/>
        <v>75045.27</v>
      </c>
      <c r="N94" s="621" t="s">
        <v>445</v>
      </c>
      <c r="O94" s="621"/>
      <c r="P94" s="621"/>
      <c r="Q94" s="44"/>
      <c r="R94" s="433">
        <f t="shared" si="15"/>
        <v>238997674</v>
      </c>
      <c r="S94" s="38" t="s">
        <v>6</v>
      </c>
      <c r="T94" s="435">
        <f>T73</f>
        <v>3.1799999999999998E-4</v>
      </c>
      <c r="U94" s="486">
        <f>ROUND(R94*T94,2)</f>
        <v>76001.259999999995</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3.1399999999999999E-4</v>
      </c>
      <c r="I96" s="101">
        <f t="shared" si="14"/>
        <v>0</v>
      </c>
      <c r="N96" s="620" t="s">
        <v>446</v>
      </c>
      <c r="O96" s="621"/>
      <c r="P96" s="621"/>
      <c r="Q96" s="44"/>
      <c r="R96" s="433">
        <f t="shared" si="15"/>
        <v>0</v>
      </c>
      <c r="S96" s="38" t="s">
        <v>6</v>
      </c>
      <c r="T96" s="435">
        <f>T73</f>
        <v>3.1799999999999998E-4</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3.5799999999999997E-4</v>
      </c>
      <c r="I98" s="101">
        <f t="shared" ref="I98" si="16">ROUND(F98*H98,2)</f>
        <v>0</v>
      </c>
      <c r="N98" s="542" t="s">
        <v>525</v>
      </c>
      <c r="O98" s="542"/>
      <c r="P98" s="542"/>
      <c r="Q98" s="44"/>
      <c r="R98" s="545">
        <f>F98</f>
        <v>0</v>
      </c>
      <c r="S98" s="543" t="s">
        <v>6</v>
      </c>
      <c r="T98" s="435">
        <f>T70</f>
        <v>3.5799999999999997E-4</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71.590500000000006</v>
      </c>
      <c r="D106" s="614"/>
      <c r="E106" s="46">
        <f>H8</f>
        <v>1.0442</v>
      </c>
      <c r="F106" s="302">
        <f>'1461'!F106</f>
        <v>906.93</v>
      </c>
      <c r="G106" s="39" t="s">
        <v>12</v>
      </c>
      <c r="H106" s="94">
        <f>ROUND(C106*E106*F106,2)</f>
        <v>67797.37</v>
      </c>
      <c r="N106" s="53" t="s">
        <v>14</v>
      </c>
      <c r="O106" s="54">
        <f>T18+T19+T22+T25+T28+T29</f>
        <v>72.459999999999994</v>
      </c>
      <c r="P106" s="631">
        <f>T8</f>
        <v>1.0442</v>
      </c>
      <c r="Q106" s="631"/>
      <c r="R106" s="48">
        <f>F106</f>
        <v>906.93</v>
      </c>
      <c r="S106" s="40" t="s">
        <v>12</v>
      </c>
      <c r="T106" s="492">
        <f>ROUND(O106*P106*R106,2)</f>
        <v>68620.800000000003</v>
      </c>
      <c r="U106" s="51"/>
    </row>
    <row r="107" spans="1:21" ht="16.5" thickBot="1" x14ac:dyDescent="0.3">
      <c r="A107" s="55"/>
      <c r="B107" s="122" t="s">
        <v>102</v>
      </c>
      <c r="C107" s="604">
        <f>SUM(C104:C106)</f>
        <v>71.590500000000006</v>
      </c>
      <c r="D107" s="604"/>
      <c r="E107" s="123"/>
      <c r="F107" s="123"/>
      <c r="G107" s="123"/>
      <c r="H107" s="124" t="s">
        <v>100</v>
      </c>
      <c r="I107" s="101">
        <f>IF(A1=75,0,H106+H105+H104)</f>
        <v>67797.37</v>
      </c>
      <c r="N107" s="56" t="s">
        <v>89</v>
      </c>
      <c r="O107" s="57">
        <f>SUM(O104:O106)</f>
        <v>72.459999999999994</v>
      </c>
      <c r="P107" s="632" t="s">
        <v>16</v>
      </c>
      <c r="Q107" s="633"/>
      <c r="R107" s="633"/>
      <c r="S107" s="633"/>
      <c r="T107" s="633"/>
      <c r="U107" s="486">
        <f>IF(N1=75,0,T106+T105+T104)</f>
        <v>68620.800000000003</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70</v>
      </c>
      <c r="D113" s="143">
        <v>69</v>
      </c>
      <c r="E113" s="116">
        <f>(C113+D113)/2</f>
        <v>69.5</v>
      </c>
      <c r="F113" s="126" t="s">
        <v>30</v>
      </c>
      <c r="G113" s="303">
        <f>'1461'!G113</f>
        <v>536</v>
      </c>
      <c r="I113" s="101">
        <f>ROUND(G113*E113,2)</f>
        <v>37252</v>
      </c>
      <c r="N113" s="650" t="s">
        <v>52</v>
      </c>
      <c r="O113" s="650"/>
      <c r="P113" s="630">
        <f>IF(H133=1,E113,0)</f>
        <v>69.5</v>
      </c>
      <c r="Q113" s="630"/>
      <c r="R113" s="630"/>
      <c r="S113" s="83" t="s">
        <v>30</v>
      </c>
      <c r="T113" s="58">
        <f>G113</f>
        <v>536</v>
      </c>
      <c r="U113" s="486">
        <f>ROUND(T113*P113,2)</f>
        <v>37252</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1042976.99</v>
      </c>
      <c r="N128" s="466"/>
      <c r="O128" s="465"/>
      <c r="P128" s="465"/>
      <c r="Q128" s="305"/>
      <c r="R128" s="305"/>
      <c r="S128" s="305"/>
      <c r="T128" s="305"/>
      <c r="U128" s="493">
        <f>SUM(U30,U85,U88,U90,U92,U94,U96,U107,U113,U114,U124,U126)</f>
        <v>596973.97000000009</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1027431.16</v>
      </c>
      <c r="N130" s="621" t="s">
        <v>457</v>
      </c>
      <c r="O130" s="621"/>
      <c r="P130" s="621"/>
      <c r="Q130" s="621"/>
      <c r="R130" s="621"/>
      <c r="S130" s="621"/>
      <c r="T130" s="621"/>
      <c r="U130" s="132">
        <f>U128-U53</f>
        <v>573913.03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f>IF(E30=0,"",IF((E15+E17+SUM(E19:E25))/E30&gt;0.75,1,""))</f>
        <v>1</v>
      </c>
      <c r="I133" s="116">
        <f>U130</f>
        <v>573913.03</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573913.03</v>
      </c>
      <c r="I135" s="94">
        <f>ROUND(IF(E30=0,0,IF(E30&gt;250,-(((250/E30)*H135)*IF(G135="H",0.02,0.05)),IF(G135="H",-0.02*H135,-0.05*H135))),2)</f>
        <v>-28695.65</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1014281.34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-1015435.1200000001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-1153.7800000001444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-1153.78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topLeftCell="A25"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116</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179.43</v>
      </c>
      <c r="D14" s="141">
        <v>179.66</v>
      </c>
      <c r="E14" s="187">
        <f>IF(D$30=0,C14*2,C14+D14)</f>
        <v>359.09000000000003</v>
      </c>
      <c r="F14" s="687">
        <f>'1461'!F14:G14</f>
        <v>1.1220000000000001</v>
      </c>
      <c r="G14" s="687"/>
      <c r="H14" s="145">
        <f>ROUND(E14*F14,4)</f>
        <v>402.899</v>
      </c>
      <c r="I14" s="111">
        <f>ROUND(ROUND(ROUND(H14*$C$8,4)*($H$8),2)*(MAX($H$9,1)),2)</f>
        <v>2162321.09</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37.590000000000003</v>
      </c>
      <c r="D15" s="143">
        <v>40.5</v>
      </c>
      <c r="E15" s="116">
        <f t="shared" ref="E15:E29" si="1">IF(D$30=0,C15*2,C15+D15)</f>
        <v>78.09</v>
      </c>
      <c r="F15" s="679">
        <f>'1461'!F15:G15</f>
        <v>1.1220000000000001</v>
      </c>
      <c r="G15" s="679"/>
      <c r="H15" s="80">
        <f t="shared" ref="H15:H29" si="2">ROUND(E15*F15,4)</f>
        <v>87.617000000000004</v>
      </c>
      <c r="I15" s="101">
        <f t="shared" ref="I15:I29" si="3">ROUND(ROUND(ROUND(H15*$C$8,4)*($H$8),2)*(MAX($H$9,1)),2)</f>
        <v>470232.21</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227.07</v>
      </c>
      <c r="D16" s="143">
        <v>224.99</v>
      </c>
      <c r="E16" s="116">
        <f t="shared" si="1"/>
        <v>452.06</v>
      </c>
      <c r="F16" s="679">
        <f>'1461'!F16:G16</f>
        <v>1</v>
      </c>
      <c r="G16" s="679"/>
      <c r="H16" s="80">
        <f t="shared" si="2"/>
        <v>452.06</v>
      </c>
      <c r="I16" s="101">
        <f t="shared" si="3"/>
        <v>2426163.56</v>
      </c>
      <c r="N16" s="621" t="s">
        <v>22</v>
      </c>
      <c r="O16" s="621"/>
      <c r="P16" s="662">
        <f t="shared" si="0"/>
        <v>0</v>
      </c>
      <c r="Q16" s="662"/>
      <c r="R16" s="667">
        <v>1</v>
      </c>
      <c r="S16" s="667"/>
      <c r="T16" s="95">
        <f t="shared" si="4"/>
        <v>0</v>
      </c>
      <c r="U16" s="486">
        <f t="shared" si="5"/>
        <v>0</v>
      </c>
    </row>
    <row r="17" spans="1:21" x14ac:dyDescent="0.25">
      <c r="A17" s="596" t="s">
        <v>23</v>
      </c>
      <c r="B17" s="596"/>
      <c r="C17" s="143">
        <v>57.36</v>
      </c>
      <c r="D17" s="143">
        <v>57.71</v>
      </c>
      <c r="E17" s="116">
        <f t="shared" si="1"/>
        <v>115.07</v>
      </c>
      <c r="F17" s="679">
        <f>'1461'!F17:G17</f>
        <v>1</v>
      </c>
      <c r="G17" s="679"/>
      <c r="H17" s="80">
        <f t="shared" si="2"/>
        <v>115.07</v>
      </c>
      <c r="I17" s="101">
        <f t="shared" si="3"/>
        <v>617569.88</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17.21</v>
      </c>
      <c r="D26" s="143">
        <v>16.690000000000001</v>
      </c>
      <c r="E26" s="116">
        <f t="shared" si="1"/>
        <v>33.900000000000006</v>
      </c>
      <c r="F26" s="679">
        <f>'1461'!F26:G26</f>
        <v>1.208</v>
      </c>
      <c r="G26" s="679"/>
      <c r="H26" s="80">
        <f t="shared" si="2"/>
        <v>40.9512</v>
      </c>
      <c r="I26" s="101">
        <f t="shared" si="3"/>
        <v>219781.24</v>
      </c>
      <c r="N26" s="621" t="s">
        <v>85</v>
      </c>
      <c r="O26" s="621"/>
      <c r="P26" s="662">
        <f t="shared" si="0"/>
        <v>0</v>
      </c>
      <c r="Q26" s="662"/>
      <c r="R26" s="667">
        <v>1</v>
      </c>
      <c r="S26" s="667"/>
      <c r="T26" s="95">
        <f t="shared" si="4"/>
        <v>0</v>
      </c>
      <c r="U26" s="486">
        <f t="shared" si="5"/>
        <v>0</v>
      </c>
    </row>
    <row r="27" spans="1:21" x14ac:dyDescent="0.25">
      <c r="A27" s="596" t="s">
        <v>86</v>
      </c>
      <c r="B27" s="596"/>
      <c r="C27" s="143">
        <v>6.2</v>
      </c>
      <c r="D27" s="143">
        <v>4.8600000000000003</v>
      </c>
      <c r="E27" s="116">
        <f t="shared" si="1"/>
        <v>11.06</v>
      </c>
      <c r="F27" s="679">
        <f>'1461'!F27:G27</f>
        <v>1.208</v>
      </c>
      <c r="G27" s="679"/>
      <c r="H27" s="80">
        <f t="shared" si="2"/>
        <v>13.3605</v>
      </c>
      <c r="I27" s="101">
        <f t="shared" si="3"/>
        <v>71704.55</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524.86000000000013</v>
      </c>
      <c r="D30" s="94">
        <f>SUM(D14:D29)</f>
        <v>524.41</v>
      </c>
      <c r="E30" s="94">
        <f>SUM(E14:E29)</f>
        <v>1049.27</v>
      </c>
      <c r="F30" s="600"/>
      <c r="G30" s="600"/>
      <c r="H30" s="99">
        <f>SUM(H14:H29)</f>
        <v>1111.9576999999999</v>
      </c>
      <c r="I30" s="94">
        <f>SUM(I14:I29)</f>
        <v>5967772.5299999993</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1111.9576999999999</v>
      </c>
      <c r="F46" s="34"/>
      <c r="G46" s="106"/>
      <c r="H46" s="107" t="s">
        <v>98</v>
      </c>
      <c r="I46" s="94">
        <f>SUM(I44,I30)</f>
        <v>5967772.5299999993</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5947674.540000001</v>
      </c>
      <c r="G51" s="109" t="s">
        <v>6</v>
      </c>
      <c r="H51" s="415">
        <v>4.5199999999999997E-2</v>
      </c>
      <c r="I51" s="101">
        <f>ROUND(F51*H51,2)</f>
        <v>268834.89</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5947674.540000001</v>
      </c>
      <c r="G52" s="109" t="s">
        <v>6</v>
      </c>
      <c r="H52" s="415">
        <v>1.41E-2</v>
      </c>
      <c r="I52" s="101">
        <f>ROUND(F52*H52,2)</f>
        <v>83862.210000000006</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352697.10000000003</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34.08</v>
      </c>
      <c r="D57" s="143">
        <v>36.49</v>
      </c>
      <c r="E57" s="116">
        <f t="shared" ref="E57:E65" si="10">IF(D$66=0,C57*2,C57+D57)</f>
        <v>70.569999999999993</v>
      </c>
      <c r="F57" s="456" t="s">
        <v>462</v>
      </c>
      <c r="G57" s="456">
        <v>251</v>
      </c>
      <c r="H57" s="470">
        <f>'1461'!H57</f>
        <v>1047</v>
      </c>
      <c r="I57" s="101">
        <f>ROUND(E57*H57,2)</f>
        <v>73886.789999999994</v>
      </c>
      <c r="N57" s="638" t="s">
        <v>470</v>
      </c>
      <c r="O57" s="638"/>
      <c r="P57" s="641"/>
      <c r="Q57" s="641"/>
      <c r="R57" s="462" t="s">
        <v>462</v>
      </c>
      <c r="S57" s="462">
        <v>251</v>
      </c>
      <c r="T57" s="473">
        <f>H57</f>
        <v>1047</v>
      </c>
      <c r="U57" s="487">
        <f>ROUND(P57*T57,2)</f>
        <v>0</v>
      </c>
      <c r="V57" s="438"/>
    </row>
    <row r="58" spans="1:22" x14ac:dyDescent="0.25">
      <c r="A58" s="607"/>
      <c r="B58" s="607"/>
      <c r="C58" s="143">
        <v>3.51</v>
      </c>
      <c r="D58" s="143">
        <v>4.01</v>
      </c>
      <c r="E58" s="116">
        <f t="shared" si="10"/>
        <v>7.52</v>
      </c>
      <c r="F58" s="456" t="s">
        <v>462</v>
      </c>
      <c r="G58" s="456">
        <v>252</v>
      </c>
      <c r="H58" s="470">
        <f>'1461'!H58</f>
        <v>3380</v>
      </c>
      <c r="I58" s="101">
        <f t="shared" ref="I58:I65" si="11">ROUND(E58*H58,2)</f>
        <v>25417.599999999999</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55.36</v>
      </c>
      <c r="D60" s="143">
        <v>55.6</v>
      </c>
      <c r="E60" s="116">
        <f t="shared" si="10"/>
        <v>110.96000000000001</v>
      </c>
      <c r="F60" s="457" t="s">
        <v>13</v>
      </c>
      <c r="G60" s="456">
        <v>251</v>
      </c>
      <c r="H60" s="470">
        <f>'1461'!H60</f>
        <v>1173</v>
      </c>
      <c r="I60" s="101">
        <f t="shared" si="11"/>
        <v>130156.08</v>
      </c>
      <c r="N60" s="639"/>
      <c r="O60" s="639"/>
      <c r="P60" s="642"/>
      <c r="Q60" s="642"/>
      <c r="R60" s="40" t="s">
        <v>13</v>
      </c>
      <c r="S60" s="462">
        <v>251</v>
      </c>
      <c r="T60" s="473">
        <f t="shared" si="12"/>
        <v>1173</v>
      </c>
      <c r="U60" s="487">
        <f t="shared" si="13"/>
        <v>0</v>
      </c>
      <c r="V60" s="438"/>
    </row>
    <row r="61" spans="1:22" x14ac:dyDescent="0.25">
      <c r="A61" s="607"/>
      <c r="B61" s="607"/>
      <c r="C61" s="143">
        <v>2</v>
      </c>
      <c r="D61" s="143">
        <v>2.11</v>
      </c>
      <c r="E61" s="116">
        <f t="shared" si="10"/>
        <v>4.1099999999999994</v>
      </c>
      <c r="F61" s="457" t="s">
        <v>13</v>
      </c>
      <c r="G61" s="456">
        <v>252</v>
      </c>
      <c r="H61" s="470">
        <f>'1461'!H61</f>
        <v>3506</v>
      </c>
      <c r="I61" s="101">
        <f t="shared" si="11"/>
        <v>14409.66</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94.949999999999989</v>
      </c>
      <c r="D66" s="97">
        <f>SUM(D57:D65)</f>
        <v>98.21</v>
      </c>
      <c r="E66" s="97">
        <f>SUM(E57:E65)</f>
        <v>193.16000000000003</v>
      </c>
      <c r="F66" s="608" t="s">
        <v>471</v>
      </c>
      <c r="G66" s="608"/>
      <c r="H66" s="608"/>
      <c r="I66" s="97">
        <f>SUM(I57:I65)</f>
        <v>243870.12999999998</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1049.27</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5.1770000000000002E-3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1111.9576999999999</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4.8760000000000001E-3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1049.27</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5.62E-3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1049.27</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5.1859999999999996E-3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1049.27</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5.6299999999999996E-3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5.1859999999999996E-3</v>
      </c>
      <c r="I85" s="101">
        <f>ROUND(F85*H85,2)</f>
        <v>230790.72</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5.1770000000000002E-3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5.6299999999999996E-3</v>
      </c>
      <c r="I90" s="101">
        <f>ROUND(F90*H90,2)</f>
        <v>91820.62</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5.62E-3</v>
      </c>
      <c r="I92" s="101">
        <f t="shared" ref="I92:I96" si="14">ROUND(F92*H92,2)</f>
        <v>57035.44</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4.8760000000000001E-3</v>
      </c>
      <c r="I94" s="101">
        <f t="shared" si="14"/>
        <v>1165352.6599999999</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4.8760000000000001E-3</v>
      </c>
      <c r="I96" s="101">
        <f t="shared" si="14"/>
        <v>0</v>
      </c>
      <c r="N96" s="620" t="s">
        <v>446</v>
      </c>
      <c r="O96" s="621"/>
      <c r="P96" s="621"/>
      <c r="Q96" s="44"/>
      <c r="R96" s="433">
        <f t="shared" si="15"/>
        <v>0</v>
      </c>
      <c r="S96" s="38" t="s">
        <v>6</v>
      </c>
      <c r="T96" s="435">
        <f>T73</f>
        <v>0</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5.1770000000000002E-3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531.46720000000005</v>
      </c>
      <c r="D104" s="614"/>
      <c r="E104" s="46">
        <f>H8</f>
        <v>1.0442</v>
      </c>
      <c r="F104" s="302">
        <f>'1461'!F104</f>
        <v>947.59</v>
      </c>
      <c r="G104" s="39" t="s">
        <v>12</v>
      </c>
      <c r="H104" s="101">
        <f>ROUND(C104*E104*F104,2)</f>
        <v>525872.69999999995</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580.4905</v>
      </c>
      <c r="D105" s="614"/>
      <c r="E105" s="46">
        <f>H8</f>
        <v>1.0442</v>
      </c>
      <c r="F105" s="302">
        <f>'1461'!F105</f>
        <v>904.74</v>
      </c>
      <c r="G105" s="39" t="s">
        <v>12</v>
      </c>
      <c r="H105" s="101">
        <f>ROUND(C105*E105*F105,2)</f>
        <v>548406.5</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1111.9576999999999</v>
      </c>
      <c r="D107" s="604"/>
      <c r="E107" s="123"/>
      <c r="F107" s="123"/>
      <c r="G107" s="123"/>
      <c r="H107" s="124" t="s">
        <v>100</v>
      </c>
      <c r="I107" s="101">
        <f>IF(A1=75,0,H106+H105+H104)</f>
        <v>1074279.2</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74</v>
      </c>
      <c r="D113" s="143">
        <v>71</v>
      </c>
      <c r="E113" s="116">
        <f>(C113+D113)/2</f>
        <v>72.5</v>
      </c>
      <c r="F113" s="126" t="s">
        <v>30</v>
      </c>
      <c r="G113" s="303">
        <f>'1461'!G113</f>
        <v>536</v>
      </c>
      <c r="I113" s="101">
        <f>ROUND(G113*E113,2)</f>
        <v>38860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8869781.2999999989</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8517084.1999999993</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8517084.1999999993</v>
      </c>
      <c r="I135" s="94">
        <f>ROUND(IF(E30=0,0,IF(E30&gt;250,-(((250/E30)*H135)*IF(G135="H",0.02,0.05)),IF(G135="H",-0.02*H135,-0.05*H135))),2)</f>
        <v>-40585.760000000002</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8829195.5399999991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-8822175.7300000004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7019.8099999986589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7019.81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129755.92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topLeftCell="A21"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117</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42.9</v>
      </c>
      <c r="D14" s="141">
        <v>40.75</v>
      </c>
      <c r="E14" s="187">
        <f>IF(D$30=0,C14*2,C14+D14)</f>
        <v>83.65</v>
      </c>
      <c r="F14" s="687">
        <f>'1461'!F14:G14</f>
        <v>1.1220000000000001</v>
      </c>
      <c r="G14" s="687"/>
      <c r="H14" s="145">
        <f>ROUND(E14*F14,4)</f>
        <v>93.8553</v>
      </c>
      <c r="I14" s="111">
        <f>ROUND(ROUND(ROUND(H14*$C$8,4)*($H$8),2)*(MAX($H$9,1)),2)</f>
        <v>503712.58</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6.5</v>
      </c>
      <c r="D15" s="143">
        <v>6.5</v>
      </c>
      <c r="E15" s="116">
        <f t="shared" ref="E15:E29" si="1">IF(D$30=0,C15*2,C15+D15)</f>
        <v>13</v>
      </c>
      <c r="F15" s="679">
        <f>'1461'!F15:G15</f>
        <v>1.1220000000000001</v>
      </c>
      <c r="G15" s="679"/>
      <c r="H15" s="80">
        <f t="shared" ref="H15:H29" si="2">ROUND(E15*F15,4)</f>
        <v>14.586</v>
      </c>
      <c r="I15" s="101">
        <f t="shared" ref="I15:I29" si="3">ROUND(ROUND(ROUND(H15*$C$8,4)*($H$8),2)*(MAX($H$9,1)),2)</f>
        <v>78281.69</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60.69</v>
      </c>
      <c r="D16" s="143">
        <v>61.79</v>
      </c>
      <c r="E16" s="116">
        <f t="shared" si="1"/>
        <v>122.47999999999999</v>
      </c>
      <c r="F16" s="679">
        <f>'1461'!F16:G16</f>
        <v>1</v>
      </c>
      <c r="G16" s="679"/>
      <c r="H16" s="80">
        <f t="shared" si="2"/>
        <v>122.48</v>
      </c>
      <c r="I16" s="101">
        <f t="shared" si="3"/>
        <v>657338.65</v>
      </c>
      <c r="N16" s="621" t="s">
        <v>22</v>
      </c>
      <c r="O16" s="621"/>
      <c r="P16" s="662">
        <f t="shared" si="0"/>
        <v>0</v>
      </c>
      <c r="Q16" s="662"/>
      <c r="R16" s="667">
        <v>1</v>
      </c>
      <c r="S16" s="667"/>
      <c r="T16" s="95">
        <f t="shared" si="4"/>
        <v>0</v>
      </c>
      <c r="U16" s="486">
        <f t="shared" si="5"/>
        <v>0</v>
      </c>
    </row>
    <row r="17" spans="1:21" x14ac:dyDescent="0.25">
      <c r="A17" s="596" t="s">
        <v>23</v>
      </c>
      <c r="B17" s="596"/>
      <c r="C17" s="143">
        <v>13</v>
      </c>
      <c r="D17" s="143">
        <v>13</v>
      </c>
      <c r="E17" s="116">
        <f t="shared" si="1"/>
        <v>26</v>
      </c>
      <c r="F17" s="679">
        <f>'1461'!F17:G17</f>
        <v>1</v>
      </c>
      <c r="G17" s="679"/>
      <c r="H17" s="80">
        <f t="shared" si="2"/>
        <v>26</v>
      </c>
      <c r="I17" s="101">
        <f t="shared" si="3"/>
        <v>139539.56</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2.75</v>
      </c>
      <c r="D26" s="143">
        <v>2.75</v>
      </c>
      <c r="E26" s="116">
        <f t="shared" si="1"/>
        <v>5.5</v>
      </c>
      <c r="F26" s="679">
        <f>'1461'!F26:G26</f>
        <v>1.208</v>
      </c>
      <c r="G26" s="679"/>
      <c r="H26" s="80">
        <f t="shared" si="2"/>
        <v>6.6440000000000001</v>
      </c>
      <c r="I26" s="101">
        <f t="shared" si="3"/>
        <v>35657.72</v>
      </c>
      <c r="N26" s="621" t="s">
        <v>85</v>
      </c>
      <c r="O26" s="621"/>
      <c r="P26" s="662">
        <f t="shared" si="0"/>
        <v>0</v>
      </c>
      <c r="Q26" s="662"/>
      <c r="R26" s="667">
        <v>1</v>
      </c>
      <c r="S26" s="667"/>
      <c r="T26" s="95">
        <f t="shared" si="4"/>
        <v>0</v>
      </c>
      <c r="U26" s="486">
        <f t="shared" si="5"/>
        <v>0</v>
      </c>
    </row>
    <row r="27" spans="1:21" x14ac:dyDescent="0.25">
      <c r="A27" s="596" t="s">
        <v>86</v>
      </c>
      <c r="B27" s="596"/>
      <c r="C27" s="143">
        <v>1.34</v>
      </c>
      <c r="D27" s="143">
        <v>2.64</v>
      </c>
      <c r="E27" s="116">
        <f t="shared" si="1"/>
        <v>3.9800000000000004</v>
      </c>
      <c r="F27" s="679">
        <f>'1461'!F27:G27</f>
        <v>1.208</v>
      </c>
      <c r="G27" s="679"/>
      <c r="H27" s="80">
        <f t="shared" si="2"/>
        <v>4.8078000000000003</v>
      </c>
      <c r="I27" s="101">
        <f t="shared" si="3"/>
        <v>25803.01</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127.18</v>
      </c>
      <c r="D30" s="94">
        <f>SUM(D14:D29)</f>
        <v>127.42999999999999</v>
      </c>
      <c r="E30" s="94">
        <f>SUM(E14:E29)</f>
        <v>254.60999999999999</v>
      </c>
      <c r="F30" s="600"/>
      <c r="G30" s="600"/>
      <c r="H30" s="99">
        <f>SUM(H14:H29)</f>
        <v>268.37309999999997</v>
      </c>
      <c r="I30" s="94">
        <f>SUM(I14:I29)</f>
        <v>1440333.21</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268.37309999999997</v>
      </c>
      <c r="F46" s="34"/>
      <c r="G46" s="106"/>
      <c r="H46" s="107" t="s">
        <v>98</v>
      </c>
      <c r="I46" s="94">
        <f>SUM(I44,I30)</f>
        <v>1440333.21</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1498990.81</v>
      </c>
      <c r="G51" s="109" t="s">
        <v>6</v>
      </c>
      <c r="H51" s="415">
        <v>4.5199999999999997E-2</v>
      </c>
      <c r="I51" s="101">
        <f>ROUND(F51*H51,2)</f>
        <v>67754.38</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1498990.81</v>
      </c>
      <c r="G52" s="109" t="s">
        <v>6</v>
      </c>
      <c r="H52" s="415">
        <v>1.41E-2</v>
      </c>
      <c r="I52" s="101">
        <f>ROUND(F52*H52,2)</f>
        <v>21135.77</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88890.150000000009</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5.5</v>
      </c>
      <c r="D57" s="143">
        <v>5.5</v>
      </c>
      <c r="E57" s="116">
        <f t="shared" ref="E57:E65" si="10">IF(D$66=0,C57*2,C57+D57)</f>
        <v>11</v>
      </c>
      <c r="F57" s="456" t="s">
        <v>462</v>
      </c>
      <c r="G57" s="456">
        <v>251</v>
      </c>
      <c r="H57" s="470">
        <f>'1461'!H57</f>
        <v>1047</v>
      </c>
      <c r="I57" s="101">
        <f>ROUND(E57*H57,2)</f>
        <v>11517</v>
      </c>
      <c r="N57" s="638" t="s">
        <v>470</v>
      </c>
      <c r="O57" s="638"/>
      <c r="P57" s="641"/>
      <c r="Q57" s="641"/>
      <c r="R57" s="462" t="s">
        <v>462</v>
      </c>
      <c r="S57" s="462">
        <v>251</v>
      </c>
      <c r="T57" s="473">
        <f>H57</f>
        <v>1047</v>
      </c>
      <c r="U57" s="487">
        <f>ROUND(P57*T57,2)</f>
        <v>0</v>
      </c>
      <c r="V57" s="438"/>
    </row>
    <row r="58" spans="1:22" x14ac:dyDescent="0.25">
      <c r="A58" s="607"/>
      <c r="B58" s="607"/>
      <c r="C58" s="143">
        <v>1</v>
      </c>
      <c r="D58" s="143">
        <v>1</v>
      </c>
      <c r="E58" s="116">
        <f t="shared" si="10"/>
        <v>2</v>
      </c>
      <c r="F58" s="456" t="s">
        <v>462</v>
      </c>
      <c r="G58" s="456">
        <v>252</v>
      </c>
      <c r="H58" s="470">
        <f>'1461'!H58</f>
        <v>3380</v>
      </c>
      <c r="I58" s="101">
        <f t="shared" ref="I58:I65" si="11">ROUND(E58*H58,2)</f>
        <v>6760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12.5</v>
      </c>
      <c r="D60" s="143">
        <v>12.6</v>
      </c>
      <c r="E60" s="116">
        <f t="shared" si="10"/>
        <v>25.1</v>
      </c>
      <c r="F60" s="457" t="s">
        <v>13</v>
      </c>
      <c r="G60" s="456">
        <v>251</v>
      </c>
      <c r="H60" s="470">
        <f>'1461'!H60</f>
        <v>1173</v>
      </c>
      <c r="I60" s="101">
        <f t="shared" si="11"/>
        <v>29442.3</v>
      </c>
      <c r="N60" s="639"/>
      <c r="O60" s="639"/>
      <c r="P60" s="642"/>
      <c r="Q60" s="642"/>
      <c r="R60" s="40" t="s">
        <v>13</v>
      </c>
      <c r="S60" s="462">
        <v>251</v>
      </c>
      <c r="T60" s="473">
        <f t="shared" si="12"/>
        <v>1173</v>
      </c>
      <c r="U60" s="487">
        <f t="shared" si="13"/>
        <v>0</v>
      </c>
      <c r="V60" s="438"/>
    </row>
    <row r="61" spans="1:22" x14ac:dyDescent="0.25">
      <c r="A61" s="607"/>
      <c r="B61" s="607"/>
      <c r="C61" s="143">
        <v>0.5</v>
      </c>
      <c r="D61" s="143">
        <v>0.4</v>
      </c>
      <c r="E61" s="116">
        <f t="shared" si="10"/>
        <v>0.9</v>
      </c>
      <c r="F61" s="457" t="s">
        <v>13</v>
      </c>
      <c r="G61" s="456">
        <v>252</v>
      </c>
      <c r="H61" s="470">
        <f>'1461'!H61</f>
        <v>3506</v>
      </c>
      <c r="I61" s="101">
        <f t="shared" si="11"/>
        <v>3155.4</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19.5</v>
      </c>
      <c r="D66" s="97">
        <f>SUM(D57:D65)</f>
        <v>19.5</v>
      </c>
      <c r="E66" s="97">
        <f>SUM(E57:E65)</f>
        <v>39</v>
      </c>
      <c r="F66" s="608" t="s">
        <v>471</v>
      </c>
      <c r="G66" s="608"/>
      <c r="H66" s="608"/>
      <c r="I66" s="97">
        <f>SUM(I57:I65)</f>
        <v>50874.700000000004</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254.60999999999999</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1.256E-3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268.37309999999997</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1.1770000000000001E-3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254.60999999999999</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1.364E-3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254.60999999999999</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1.258E-3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254.60999999999999</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1.366E-3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1.258E-3</v>
      </c>
      <c r="I85" s="101">
        <f>ROUND(F85*H85,2)</f>
        <v>55984.33</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1.256E-3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1.366E-3</v>
      </c>
      <c r="I90" s="101">
        <f>ROUND(F90*H90,2)</f>
        <v>22278.32</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1.364E-3</v>
      </c>
      <c r="I92" s="101">
        <f t="shared" ref="I92:I96" si="14">ROUND(F92*H92,2)</f>
        <v>13842.76</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1.1770000000000001E-3</v>
      </c>
      <c r="I94" s="101">
        <f t="shared" si="14"/>
        <v>281300.26</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1.1770000000000001E-3</v>
      </c>
      <c r="I96" s="101">
        <f t="shared" si="14"/>
        <v>0</v>
      </c>
      <c r="N96" s="620" t="s">
        <v>446</v>
      </c>
      <c r="O96" s="621"/>
      <c r="P96" s="621"/>
      <c r="Q96" s="44"/>
      <c r="R96" s="433">
        <f t="shared" si="15"/>
        <v>0</v>
      </c>
      <c r="S96" s="38" t="s">
        <v>6</v>
      </c>
      <c r="T96" s="435">
        <f>T73</f>
        <v>0</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1.256E-3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115.0853</v>
      </c>
      <c r="D104" s="614"/>
      <c r="E104" s="46">
        <f>H8</f>
        <v>1.0442</v>
      </c>
      <c r="F104" s="302">
        <f>'1461'!F104</f>
        <v>947.59</v>
      </c>
      <c r="G104" s="39" t="s">
        <v>12</v>
      </c>
      <c r="H104" s="101">
        <f>ROUND(C104*E104*F104,2)</f>
        <v>113873.85</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153.2878</v>
      </c>
      <c r="D105" s="614"/>
      <c r="E105" s="46">
        <f>H8</f>
        <v>1.0442</v>
      </c>
      <c r="F105" s="302">
        <f>'1461'!F105</f>
        <v>904.74</v>
      </c>
      <c r="G105" s="39" t="s">
        <v>12</v>
      </c>
      <c r="H105" s="101">
        <f>ROUND(C105*E105*F105,2)</f>
        <v>144815.51</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268.37310000000002</v>
      </c>
      <c r="D107" s="604"/>
      <c r="E107" s="123"/>
      <c r="F107" s="123"/>
      <c r="G107" s="123"/>
      <c r="H107" s="124" t="s">
        <v>100</v>
      </c>
      <c r="I107" s="101">
        <f>IF(A1=75,0,H106+H105+H104)</f>
        <v>258689.36000000002</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249</v>
      </c>
      <c r="D113" s="143">
        <v>248</v>
      </c>
      <c r="E113" s="116">
        <f>(C113+D113)/2</f>
        <v>248.5</v>
      </c>
      <c r="F113" s="126" t="s">
        <v>30</v>
      </c>
      <c r="G113" s="303">
        <f>'1461'!G113</f>
        <v>536</v>
      </c>
      <c r="I113" s="101">
        <f>ROUND(G113*E113,2)</f>
        <v>133196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2256498.94</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2167608.79</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2167608.79</v>
      </c>
      <c r="I135" s="94">
        <f>ROUND(IF(E30=0,0,IF(E30&gt;250,-(((250/E30)*H135)*IF(G135="H",0.02,0.05)),IF(G135="H",-0.02*H135,-0.05*H135))),2)</f>
        <v>-106418.09</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2150080.85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-2152313.0700000003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-2232.2200000002049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-2232.2199999999998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1962.35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topLeftCell="A16" workbookViewId="0">
      <selection activeCell="D57" sqref="D5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118</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0.5</v>
      </c>
      <c r="D17" s="143">
        <v>0.96</v>
      </c>
      <c r="E17" s="116">
        <f t="shared" si="1"/>
        <v>1.46</v>
      </c>
      <c r="F17" s="679">
        <f>'1461'!F17:G17</f>
        <v>1</v>
      </c>
      <c r="G17" s="679"/>
      <c r="H17" s="80">
        <f t="shared" si="2"/>
        <v>1.46</v>
      </c>
      <c r="I17" s="101">
        <f t="shared" si="3"/>
        <v>7835.68</v>
      </c>
      <c r="J17" s="65" t="str">
        <f>IF(ROUND(E17,2)=ROUND(SUM(E60:E62),2)," ","CHECK 4-8 LINES BELOW")</f>
        <v xml:space="preserve"> </v>
      </c>
      <c r="N17" s="621" t="s">
        <v>23</v>
      </c>
      <c r="O17" s="621"/>
      <c r="P17" s="662">
        <f t="shared" si="0"/>
        <v>1.46</v>
      </c>
      <c r="Q17" s="662"/>
      <c r="R17" s="667">
        <v>1</v>
      </c>
      <c r="S17" s="667"/>
      <c r="T17" s="95">
        <f t="shared" si="4"/>
        <v>1.46</v>
      </c>
      <c r="U17" s="486">
        <f t="shared" si="5"/>
        <v>7835.68</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10.5</v>
      </c>
      <c r="D19" s="143">
        <v>11</v>
      </c>
      <c r="E19" s="116">
        <f t="shared" si="1"/>
        <v>21.5</v>
      </c>
      <c r="F19" s="679">
        <f>'1461'!F19:G19</f>
        <v>0.98799999999999999</v>
      </c>
      <c r="G19" s="679"/>
      <c r="H19" s="80">
        <f t="shared" si="2"/>
        <v>21.242000000000001</v>
      </c>
      <c r="I19" s="101">
        <f t="shared" si="3"/>
        <v>114003.82</v>
      </c>
      <c r="J19" s="65" t="str">
        <f>IF(ROUND(E19,2)=ROUND(SUM(E63:E65),2)," ","CHECK 4-8 LINES BELOW")</f>
        <v xml:space="preserve"> </v>
      </c>
      <c r="N19" s="621" t="s">
        <v>25</v>
      </c>
      <c r="O19" s="621"/>
      <c r="P19" s="662">
        <f t="shared" si="0"/>
        <v>21.5</v>
      </c>
      <c r="Q19" s="662"/>
      <c r="R19" s="667">
        <v>1</v>
      </c>
      <c r="S19" s="667"/>
      <c r="T19" s="95">
        <f t="shared" si="4"/>
        <v>21.5</v>
      </c>
      <c r="U19" s="485">
        <f t="shared" si="5"/>
        <v>115388.48</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0.48</v>
      </c>
      <c r="D25" s="143">
        <v>0.98</v>
      </c>
      <c r="E25" s="116">
        <f t="shared" si="1"/>
        <v>1.46</v>
      </c>
      <c r="F25" s="679">
        <f>'1461'!F25:G25</f>
        <v>5.7069999999999999</v>
      </c>
      <c r="G25" s="679"/>
      <c r="H25" s="80">
        <f t="shared" si="2"/>
        <v>8.3322000000000003</v>
      </c>
      <c r="I25" s="101">
        <f t="shared" si="3"/>
        <v>44718.13</v>
      </c>
      <c r="N25" s="621" t="s">
        <v>84</v>
      </c>
      <c r="O25" s="621"/>
      <c r="P25" s="662">
        <f t="shared" si="0"/>
        <v>1.46</v>
      </c>
      <c r="Q25" s="662"/>
      <c r="R25" s="667">
        <v>1</v>
      </c>
      <c r="S25" s="667"/>
      <c r="T25" s="95">
        <f t="shared" si="4"/>
        <v>1.46</v>
      </c>
      <c r="U25" s="486">
        <f t="shared" si="5"/>
        <v>7835.68</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11.48</v>
      </c>
      <c r="D30" s="94">
        <f>SUM(D14:D29)</f>
        <v>12.940000000000001</v>
      </c>
      <c r="E30" s="94">
        <f>SUM(E14:E29)</f>
        <v>24.42</v>
      </c>
      <c r="F30" s="600"/>
      <c r="G30" s="600"/>
      <c r="H30" s="99">
        <f>SUM(H14:H29)</f>
        <v>31.034200000000002</v>
      </c>
      <c r="I30" s="94">
        <f>SUM(I14:I29)</f>
        <v>166557.63</v>
      </c>
      <c r="N30" s="664" t="s">
        <v>5</v>
      </c>
      <c r="O30" s="664"/>
      <c r="P30" s="665">
        <f>SUM(P14:P29)</f>
        <v>24.42</v>
      </c>
      <c r="Q30" s="665"/>
      <c r="R30" s="637"/>
      <c r="S30" s="637"/>
      <c r="T30" s="100">
        <f>SUM(T14:T29)</f>
        <v>24.42</v>
      </c>
      <c r="U30" s="486">
        <f>SUM(U14:U29)</f>
        <v>131059.84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31.034200000000002</v>
      </c>
      <c r="F46" s="34"/>
      <c r="G46" s="106"/>
      <c r="H46" s="107" t="s">
        <v>98</v>
      </c>
      <c r="I46" s="94">
        <f>SUM(I44,I30)</f>
        <v>166557.63</v>
      </c>
      <c r="N46" s="623" t="s">
        <v>44</v>
      </c>
      <c r="O46" s="623"/>
      <c r="P46" s="623"/>
      <c r="Q46" s="623"/>
      <c r="R46" s="35">
        <f>R44+T30</f>
        <v>24.42</v>
      </c>
      <c r="S46" s="637" t="s">
        <v>42</v>
      </c>
      <c r="T46" s="637"/>
      <c r="U46" s="108">
        <f>SUM(U44,U30)</f>
        <v>131059.84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172280.37</v>
      </c>
      <c r="G51" s="109" t="s">
        <v>6</v>
      </c>
      <c r="H51" s="415">
        <v>4.5199999999999997E-2</v>
      </c>
      <c r="I51" s="101">
        <f>ROUND(F51*H51,2)</f>
        <v>7787.07</v>
      </c>
      <c r="N51" s="420"/>
      <c r="O51" s="421" t="s">
        <v>422</v>
      </c>
      <c r="P51" s="28"/>
      <c r="Q51" s="44" t="s">
        <v>423</v>
      </c>
      <c r="R51" s="422">
        <f>U30</f>
        <v>131059.84</v>
      </c>
      <c r="S51" s="423" t="s">
        <v>6</v>
      </c>
      <c r="T51" s="424">
        <v>4.5199999999999997E-2</v>
      </c>
      <c r="U51" s="416">
        <f>ROUND(R51*T51,2)</f>
        <v>5923.9</v>
      </c>
    </row>
    <row r="52" spans="1:22" x14ac:dyDescent="0.25">
      <c r="A52" s="26"/>
      <c r="B52" s="81" t="s">
        <v>424</v>
      </c>
      <c r="C52" s="26"/>
      <c r="D52" s="26"/>
      <c r="E52" s="43" t="s">
        <v>423</v>
      </c>
      <c r="F52" s="414">
        <v>172280.37</v>
      </c>
      <c r="G52" s="109" t="s">
        <v>6</v>
      </c>
      <c r="H52" s="415">
        <v>1.41E-2</v>
      </c>
      <c r="I52" s="101">
        <f>ROUND(F52*H52,2)</f>
        <v>2429.15</v>
      </c>
      <c r="N52" s="28"/>
      <c r="O52" s="397" t="s">
        <v>424</v>
      </c>
      <c r="P52" s="28"/>
      <c r="Q52" s="44" t="s">
        <v>423</v>
      </c>
      <c r="R52" s="422">
        <f>U30</f>
        <v>131059.84</v>
      </c>
      <c r="S52" s="423" t="s">
        <v>6</v>
      </c>
      <c r="T52" s="424">
        <v>1.41E-2</v>
      </c>
      <c r="U52" s="425">
        <f>ROUND(R52*T52,2)</f>
        <v>1847.94</v>
      </c>
    </row>
    <row r="53" spans="1:22" x14ac:dyDescent="0.25">
      <c r="A53" s="26"/>
      <c r="B53" s="81" t="s">
        <v>425</v>
      </c>
      <c r="C53" s="26"/>
      <c r="D53" s="26"/>
      <c r="E53" s="43"/>
      <c r="F53" s="414"/>
      <c r="G53" s="109"/>
      <c r="H53" s="415"/>
      <c r="I53" s="97">
        <f>SUM(I51:I52)</f>
        <v>10216.219999999999</v>
      </c>
      <c r="N53" s="28"/>
      <c r="O53" s="397" t="s">
        <v>425</v>
      </c>
      <c r="P53" s="28"/>
      <c r="Q53" s="44"/>
      <c r="R53" s="422"/>
      <c r="S53" s="423"/>
      <c r="T53" s="424"/>
      <c r="U53" s="416">
        <f>SUM(U51:U52)</f>
        <v>7771.84</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0.48</v>
      </c>
      <c r="E61" s="116">
        <f t="shared" si="10"/>
        <v>0.48</v>
      </c>
      <c r="F61" s="457" t="s">
        <v>13</v>
      </c>
      <c r="G61" s="456">
        <v>252</v>
      </c>
      <c r="H61" s="470">
        <f>'1461'!H61</f>
        <v>3506</v>
      </c>
      <c r="I61" s="101">
        <f t="shared" si="11"/>
        <v>1682.88</v>
      </c>
      <c r="N61" s="639"/>
      <c r="O61" s="639"/>
      <c r="P61" s="642"/>
      <c r="Q61" s="642"/>
      <c r="R61" s="40" t="s">
        <v>13</v>
      </c>
      <c r="S61" s="462">
        <v>252</v>
      </c>
      <c r="T61" s="473">
        <f t="shared" si="12"/>
        <v>3506</v>
      </c>
      <c r="U61" s="487">
        <f t="shared" si="13"/>
        <v>0</v>
      </c>
      <c r="V61" s="438"/>
    </row>
    <row r="62" spans="1:22" x14ac:dyDescent="0.25">
      <c r="A62" s="607"/>
      <c r="B62" s="607"/>
      <c r="C62" s="143">
        <v>0.5</v>
      </c>
      <c r="D62" s="143">
        <v>0.48</v>
      </c>
      <c r="E62" s="116">
        <f t="shared" si="10"/>
        <v>0.98</v>
      </c>
      <c r="F62" s="457" t="s">
        <v>13</v>
      </c>
      <c r="G62" s="456">
        <v>253</v>
      </c>
      <c r="H62" s="470">
        <f>'1461'!H62</f>
        <v>7023</v>
      </c>
      <c r="I62" s="101">
        <f t="shared" si="11"/>
        <v>6882.54</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10.5</v>
      </c>
      <c r="D65" s="143">
        <v>11</v>
      </c>
      <c r="E65" s="116">
        <f t="shared" si="10"/>
        <v>21.5</v>
      </c>
      <c r="F65" s="457" t="s">
        <v>14</v>
      </c>
      <c r="G65" s="456">
        <v>253</v>
      </c>
      <c r="H65" s="470">
        <f>'1461'!H65</f>
        <v>6685</v>
      </c>
      <c r="I65" s="101">
        <f t="shared" si="11"/>
        <v>143727.5</v>
      </c>
      <c r="N65" s="639"/>
      <c r="O65" s="639"/>
      <c r="P65" s="643"/>
      <c r="Q65" s="643"/>
      <c r="R65" s="40" t="s">
        <v>14</v>
      </c>
      <c r="S65" s="462">
        <v>253</v>
      </c>
      <c r="T65" s="473">
        <f t="shared" si="12"/>
        <v>6685</v>
      </c>
      <c r="U65" s="488">
        <f t="shared" si="13"/>
        <v>0</v>
      </c>
      <c r="V65" s="438"/>
    </row>
    <row r="66" spans="1:22" ht="16.5" thickBot="1" x14ac:dyDescent="0.3">
      <c r="A66" s="453"/>
      <c r="C66" s="97">
        <f>SUM(C57:C65)</f>
        <v>11</v>
      </c>
      <c r="D66" s="97">
        <f>SUM(D57:D65)</f>
        <v>11.96</v>
      </c>
      <c r="E66" s="97">
        <f>SUM(E57:E65)</f>
        <v>22.96</v>
      </c>
      <c r="F66" s="608" t="s">
        <v>471</v>
      </c>
      <c r="G66" s="608"/>
      <c r="H66" s="608"/>
      <c r="I66" s="97">
        <f>SUM(I57:I65)</f>
        <v>152292.92000000001</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24.42</v>
      </c>
      <c r="D69" s="583" t="s">
        <v>437</v>
      </c>
      <c r="E69" s="583"/>
      <c r="F69" s="583"/>
      <c r="G69" s="583"/>
      <c r="H69" s="299">
        <f>'1461'!H69</f>
        <v>202683.97</v>
      </c>
      <c r="I69" s="113"/>
      <c r="N69" s="620" t="s">
        <v>430</v>
      </c>
      <c r="O69" s="621"/>
      <c r="P69" s="41">
        <f>P30</f>
        <v>24.42</v>
      </c>
      <c r="Q69" s="626" t="s">
        <v>432</v>
      </c>
      <c r="R69" s="627"/>
      <c r="S69" s="627"/>
      <c r="T69" s="624">
        <f>H69</f>
        <v>202683.97</v>
      </c>
      <c r="U69" s="624"/>
    </row>
    <row r="70" spans="1:22" x14ac:dyDescent="0.25">
      <c r="B70" s="69"/>
      <c r="G70" s="42" t="s">
        <v>12</v>
      </c>
      <c r="H70" s="114">
        <f>ROUND(C69/H69,6)</f>
        <v>1.2E-4</v>
      </c>
      <c r="I70" s="115"/>
      <c r="N70" s="621"/>
      <c r="O70" s="621"/>
      <c r="P70" s="621"/>
      <c r="Q70" s="621"/>
      <c r="R70" s="621"/>
      <c r="S70" s="621"/>
      <c r="T70" s="625">
        <f>ROUND(P69/T69,6)</f>
        <v>1.2E-4</v>
      </c>
      <c r="U70" s="625"/>
    </row>
    <row r="71" spans="1:22" x14ac:dyDescent="0.25">
      <c r="A71" s="455" t="s">
        <v>474</v>
      </c>
      <c r="N71" s="466" t="s">
        <v>482</v>
      </c>
      <c r="O71" s="51"/>
      <c r="P71" s="51"/>
      <c r="Q71" s="51"/>
      <c r="R71" s="51"/>
      <c r="S71" s="51"/>
      <c r="T71" s="51"/>
      <c r="U71" s="51"/>
    </row>
    <row r="72" spans="1:22" x14ac:dyDescent="0.25">
      <c r="A72" s="602" t="s">
        <v>427</v>
      </c>
      <c r="B72" s="596"/>
      <c r="C72" s="112">
        <f>H30</f>
        <v>31.034200000000002</v>
      </c>
      <c r="D72" s="583" t="s">
        <v>438</v>
      </c>
      <c r="E72" s="583"/>
      <c r="F72" s="583"/>
      <c r="G72" s="583"/>
      <c r="H72" s="300">
        <f>'1461'!H72</f>
        <v>228068.32</v>
      </c>
      <c r="I72" s="116"/>
      <c r="N72" s="620" t="s">
        <v>431</v>
      </c>
      <c r="O72" s="621"/>
      <c r="P72" s="41">
        <f>T30</f>
        <v>24.42</v>
      </c>
      <c r="Q72" s="626" t="s">
        <v>433</v>
      </c>
      <c r="R72" s="627"/>
      <c r="S72" s="627"/>
      <c r="T72" s="624">
        <f>H72</f>
        <v>228068.32</v>
      </c>
      <c r="U72" s="624"/>
    </row>
    <row r="73" spans="1:22" x14ac:dyDescent="0.25">
      <c r="G73" s="42" t="s">
        <v>12</v>
      </c>
      <c r="H73" s="114">
        <f>ROUND(C72/H72,6)</f>
        <v>1.36E-4</v>
      </c>
      <c r="I73" s="114"/>
      <c r="N73" s="621"/>
      <c r="O73" s="621"/>
      <c r="P73" s="621"/>
      <c r="Q73" s="621"/>
      <c r="R73" s="621"/>
      <c r="S73" s="621"/>
      <c r="T73" s="625">
        <f>ROUND(P72/T72,6)</f>
        <v>1.07E-4</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24.42</v>
      </c>
      <c r="D75" s="575" t="s">
        <v>439</v>
      </c>
      <c r="E75" s="575"/>
      <c r="F75" s="575"/>
      <c r="G75" s="575"/>
      <c r="H75" s="299">
        <f>'1461'!H75</f>
        <v>186715.72</v>
      </c>
      <c r="I75" s="113"/>
      <c r="N75" s="620" t="s">
        <v>429</v>
      </c>
      <c r="O75" s="621"/>
      <c r="P75" s="41">
        <f>P30</f>
        <v>24.42</v>
      </c>
      <c r="Q75" s="656" t="s">
        <v>434</v>
      </c>
      <c r="R75" s="657"/>
      <c r="S75" s="657"/>
      <c r="T75" s="624">
        <f>H75</f>
        <v>186715.72</v>
      </c>
      <c r="U75" s="624"/>
    </row>
    <row r="76" spans="1:22" x14ac:dyDescent="0.25">
      <c r="B76" s="69"/>
      <c r="G76" s="42" t="s">
        <v>12</v>
      </c>
      <c r="H76" s="114">
        <f>ROUND(C75/H75,6)</f>
        <v>1.3100000000000001E-4</v>
      </c>
      <c r="I76" s="115"/>
      <c r="N76" s="621"/>
      <c r="O76" s="621"/>
      <c r="P76" s="621"/>
      <c r="Q76" s="621"/>
      <c r="R76" s="621"/>
      <c r="S76" s="621"/>
      <c r="T76" s="625">
        <f>ROUND(P75/T75,6)</f>
        <v>1.3100000000000001E-4</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24.42</v>
      </c>
      <c r="D78" s="603" t="s">
        <v>440</v>
      </c>
      <c r="E78" s="603"/>
      <c r="F78" s="603"/>
      <c r="G78" s="603"/>
      <c r="H78" s="299">
        <f>'1461'!H78</f>
        <v>202339.94</v>
      </c>
      <c r="I78" s="113"/>
      <c r="N78" s="620" t="s">
        <v>429</v>
      </c>
      <c r="O78" s="621"/>
      <c r="P78" s="41">
        <f>P30</f>
        <v>24.42</v>
      </c>
      <c r="Q78" s="654" t="s">
        <v>435</v>
      </c>
      <c r="R78" s="655"/>
      <c r="S78" s="655"/>
      <c r="T78" s="624">
        <f>H78</f>
        <v>202339.94</v>
      </c>
      <c r="U78" s="624"/>
    </row>
    <row r="79" spans="1:22" x14ac:dyDescent="0.25">
      <c r="B79" s="69"/>
      <c r="G79" s="42" t="s">
        <v>12</v>
      </c>
      <c r="H79" s="114">
        <f>ROUND(C78/H78,6)</f>
        <v>1.21E-4</v>
      </c>
      <c r="I79" s="115"/>
      <c r="N79" s="621"/>
      <c r="O79" s="621"/>
      <c r="P79" s="621"/>
      <c r="Q79" s="621"/>
      <c r="R79" s="621"/>
      <c r="S79" s="621"/>
      <c r="T79" s="625">
        <f>ROUND(P78/T78,6)</f>
        <v>1.21E-4</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24.42</v>
      </c>
      <c r="D81" s="575" t="s">
        <v>441</v>
      </c>
      <c r="E81" s="575"/>
      <c r="F81" s="575"/>
      <c r="G81" s="575"/>
      <c r="H81" s="299">
        <f>'1461'!H81</f>
        <v>186371.69</v>
      </c>
      <c r="I81" s="113"/>
      <c r="N81" s="620" t="s">
        <v>442</v>
      </c>
      <c r="O81" s="621"/>
      <c r="P81" s="41">
        <f>P30</f>
        <v>24.42</v>
      </c>
      <c r="Q81" s="656" t="s">
        <v>443</v>
      </c>
      <c r="R81" s="657"/>
      <c r="S81" s="657"/>
      <c r="T81" s="624">
        <f>H81</f>
        <v>186371.69</v>
      </c>
      <c r="U81" s="624"/>
    </row>
    <row r="82" spans="1:21" x14ac:dyDescent="0.25">
      <c r="B82" s="69"/>
      <c r="G82" s="42" t="s">
        <v>12</v>
      </c>
      <c r="H82" s="114">
        <f>ROUND(C81/H81,6)</f>
        <v>1.3100000000000001E-4</v>
      </c>
      <c r="I82" s="115"/>
      <c r="N82" s="621"/>
      <c r="O82" s="621"/>
      <c r="P82" s="621"/>
      <c r="Q82" s="621"/>
      <c r="R82" s="621"/>
      <c r="S82" s="621"/>
      <c r="T82" s="625">
        <f>ROUND(P81/T81,6)</f>
        <v>1.3100000000000001E-4</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1.21E-4</v>
      </c>
      <c r="I85" s="101">
        <f>ROUND(F85*H85,2)</f>
        <v>5384.82</v>
      </c>
      <c r="N85" s="466" t="s">
        <v>478</v>
      </c>
      <c r="O85" s="51"/>
      <c r="P85" s="51"/>
      <c r="Q85" s="44"/>
      <c r="R85" s="433">
        <f>F85</f>
        <v>44502646</v>
      </c>
      <c r="S85" s="38" t="s">
        <v>6</v>
      </c>
      <c r="T85" s="435">
        <f>T79</f>
        <v>1.21E-4</v>
      </c>
      <c r="U85" s="486">
        <f>ROUND(R85*T85,2)</f>
        <v>5384.82</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1.2E-4</v>
      </c>
      <c r="I88" s="101">
        <f>ROUND(F88*H88,2)</f>
        <v>0</v>
      </c>
      <c r="N88" s="658" t="s">
        <v>99</v>
      </c>
      <c r="O88" s="621"/>
      <c r="P88" s="621"/>
      <c r="Q88" s="44"/>
      <c r="R88" s="433">
        <f>F88</f>
        <v>0</v>
      </c>
      <c r="S88" s="38" t="s">
        <v>6</v>
      </c>
      <c r="T88" s="435">
        <f>T70</f>
        <v>1.2E-4</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1.3100000000000001E-4</v>
      </c>
      <c r="I90" s="101">
        <f>ROUND(F90*H90,2)</f>
        <v>2136.5</v>
      </c>
      <c r="N90" s="466" t="s">
        <v>479</v>
      </c>
      <c r="O90" s="51"/>
      <c r="P90" s="51"/>
      <c r="Q90" s="44"/>
      <c r="R90" s="433">
        <f>F90</f>
        <v>16309168</v>
      </c>
      <c r="S90" s="38" t="s">
        <v>6</v>
      </c>
      <c r="T90" s="435">
        <f>T82</f>
        <v>1.3100000000000001E-4</v>
      </c>
      <c r="U90" s="486">
        <f>ROUND(R90*T90,2)</f>
        <v>2136.5</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1.3100000000000001E-4</v>
      </c>
      <c r="I92" s="101">
        <f t="shared" ref="I92:I96" si="14">ROUND(F92*H92,2)</f>
        <v>1329.47</v>
      </c>
      <c r="N92" s="466" t="s">
        <v>480</v>
      </c>
      <c r="O92" s="51"/>
      <c r="P92" s="51"/>
      <c r="Q92" s="44"/>
      <c r="R92" s="433">
        <f t="shared" ref="R92:R96" si="15">F92</f>
        <v>10148654</v>
      </c>
      <c r="S92" s="38" t="s">
        <v>6</v>
      </c>
      <c r="T92" s="435">
        <f>T76</f>
        <v>1.3100000000000001E-4</v>
      </c>
      <c r="U92" s="486">
        <f>ROUND(R92*T92,2)</f>
        <v>1329.47</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1.36E-4</v>
      </c>
      <c r="I94" s="101">
        <f t="shared" si="14"/>
        <v>32503.68</v>
      </c>
      <c r="N94" s="621" t="s">
        <v>445</v>
      </c>
      <c r="O94" s="621"/>
      <c r="P94" s="621"/>
      <c r="Q94" s="44"/>
      <c r="R94" s="433">
        <f t="shared" si="15"/>
        <v>238997674</v>
      </c>
      <c r="S94" s="38" t="s">
        <v>6</v>
      </c>
      <c r="T94" s="435">
        <f>T73</f>
        <v>1.07E-4</v>
      </c>
      <c r="U94" s="486">
        <f>ROUND(R94*T94,2)</f>
        <v>25572.75</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1.36E-4</v>
      </c>
      <c r="I96" s="101">
        <f t="shared" si="14"/>
        <v>0</v>
      </c>
      <c r="N96" s="620" t="s">
        <v>446</v>
      </c>
      <c r="O96" s="621"/>
      <c r="P96" s="621"/>
      <c r="Q96" s="44"/>
      <c r="R96" s="433">
        <f t="shared" si="15"/>
        <v>0</v>
      </c>
      <c r="S96" s="38" t="s">
        <v>6</v>
      </c>
      <c r="T96" s="435">
        <f>T73</f>
        <v>1.07E-4</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1.2E-4</v>
      </c>
      <c r="I98" s="101">
        <f t="shared" ref="I98" si="16">ROUND(F98*H98,2)</f>
        <v>0</v>
      </c>
      <c r="N98" s="542" t="s">
        <v>525</v>
      </c>
      <c r="O98" s="542"/>
      <c r="P98" s="542"/>
      <c r="Q98" s="44"/>
      <c r="R98" s="545">
        <f>F98</f>
        <v>0</v>
      </c>
      <c r="S98" s="543" t="s">
        <v>6</v>
      </c>
      <c r="T98" s="435">
        <f>T70</f>
        <v>1.2E-4</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1.46</v>
      </c>
      <c r="D105" s="614"/>
      <c r="E105" s="46">
        <f>H8</f>
        <v>1.0442</v>
      </c>
      <c r="F105" s="302">
        <f>'1461'!F105</f>
        <v>904.74</v>
      </c>
      <c r="G105" s="39" t="s">
        <v>12</v>
      </c>
      <c r="H105" s="101">
        <f>ROUND(C105*E105*F105,2)</f>
        <v>1379.31</v>
      </c>
      <c r="N105" s="50" t="s">
        <v>13</v>
      </c>
      <c r="O105" s="47">
        <f>T16+T17+T21+T24+T27</f>
        <v>1.46</v>
      </c>
      <c r="P105" s="631">
        <f>T8</f>
        <v>1.0442</v>
      </c>
      <c r="Q105" s="631"/>
      <c r="R105" s="48">
        <f>F105</f>
        <v>904.74</v>
      </c>
      <c r="S105" s="40" t="s">
        <v>12</v>
      </c>
      <c r="T105" s="492">
        <f>ROUND(O105*P105*R105,2)</f>
        <v>1379.31</v>
      </c>
      <c r="U105" s="51"/>
    </row>
    <row r="106" spans="1:21" ht="16.5" thickBot="1" x14ac:dyDescent="0.3">
      <c r="A106" s="52"/>
      <c r="B106" s="52" t="s">
        <v>103</v>
      </c>
      <c r="C106" s="614">
        <f>H18+H19+H22+H25+H28+H29</f>
        <v>29.574200000000001</v>
      </c>
      <c r="D106" s="614"/>
      <c r="E106" s="46">
        <f>H8</f>
        <v>1.0442</v>
      </c>
      <c r="F106" s="302">
        <f>'1461'!F106</f>
        <v>906.93</v>
      </c>
      <c r="G106" s="39" t="s">
        <v>12</v>
      </c>
      <c r="H106" s="94">
        <f>ROUND(C106*E106*F106,2)</f>
        <v>28007.25</v>
      </c>
      <c r="N106" s="53" t="s">
        <v>14</v>
      </c>
      <c r="O106" s="54">
        <f>T18+T19+T22+T25+T28+T29</f>
        <v>22.96</v>
      </c>
      <c r="P106" s="631">
        <f>T8</f>
        <v>1.0442</v>
      </c>
      <c r="Q106" s="631"/>
      <c r="R106" s="48">
        <f>F106</f>
        <v>906.93</v>
      </c>
      <c r="S106" s="40" t="s">
        <v>12</v>
      </c>
      <c r="T106" s="492">
        <f>ROUND(O106*P106*R106,2)</f>
        <v>21743.49</v>
      </c>
      <c r="U106" s="51"/>
    </row>
    <row r="107" spans="1:21" ht="16.5" thickBot="1" x14ac:dyDescent="0.3">
      <c r="A107" s="55"/>
      <c r="B107" s="122" t="s">
        <v>102</v>
      </c>
      <c r="C107" s="604">
        <f>SUM(C104:C106)</f>
        <v>31.034200000000002</v>
      </c>
      <c r="D107" s="604"/>
      <c r="E107" s="123"/>
      <c r="F107" s="123"/>
      <c r="G107" s="123"/>
      <c r="H107" s="124" t="s">
        <v>100</v>
      </c>
      <c r="I107" s="101">
        <f>IF(A1=75,0,H106+H105+H104)</f>
        <v>29386.560000000001</v>
      </c>
      <c r="N107" s="56" t="s">
        <v>89</v>
      </c>
      <c r="O107" s="57">
        <f>SUM(O104:O106)</f>
        <v>24.42</v>
      </c>
      <c r="P107" s="632" t="s">
        <v>16</v>
      </c>
      <c r="Q107" s="633"/>
      <c r="R107" s="633"/>
      <c r="S107" s="633"/>
      <c r="T107" s="633"/>
      <c r="U107" s="486">
        <f>IF(N1=75,0,T106+T105+T104)</f>
        <v>23122.800000000003</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21</v>
      </c>
      <c r="D113" s="143">
        <v>21</v>
      </c>
      <c r="E113" s="116">
        <f>(C113+D113)/2</f>
        <v>21</v>
      </c>
      <c r="F113" s="126" t="s">
        <v>30</v>
      </c>
      <c r="G113" s="303">
        <f>'1461'!G113</f>
        <v>536</v>
      </c>
      <c r="I113" s="101">
        <f>ROUND(G113*E113,2)</f>
        <v>11256</v>
      </c>
      <c r="N113" s="650" t="s">
        <v>52</v>
      </c>
      <c r="O113" s="650"/>
      <c r="P113" s="630">
        <f>IF(H133=1,E113,0)</f>
        <v>21</v>
      </c>
      <c r="Q113" s="630"/>
      <c r="R113" s="630"/>
      <c r="S113" s="83" t="s">
        <v>30</v>
      </c>
      <c r="T113" s="58">
        <f>G113</f>
        <v>536</v>
      </c>
      <c r="U113" s="486">
        <f>ROUND(T113*P113,2)</f>
        <v>11256</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400847.58</v>
      </c>
      <c r="N128" s="466"/>
      <c r="O128" s="465"/>
      <c r="P128" s="465"/>
      <c r="Q128" s="305"/>
      <c r="R128" s="305"/>
      <c r="S128" s="305"/>
      <c r="T128" s="305"/>
      <c r="U128" s="493">
        <f>SUM(U30,U85,U88,U90,U92,U94,U96,U107,U113,U114,U124,U126)</f>
        <v>199862.18</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390631.36000000004</v>
      </c>
      <c r="N130" s="621" t="s">
        <v>457</v>
      </c>
      <c r="O130" s="621"/>
      <c r="P130" s="621"/>
      <c r="Q130" s="621"/>
      <c r="R130" s="621"/>
      <c r="S130" s="621"/>
      <c r="T130" s="621"/>
      <c r="U130" s="132">
        <f>U128-U53</f>
        <v>192090.34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v>1</v>
      </c>
      <c r="I133" s="116">
        <f>U130</f>
        <v>192090.34</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192090.34</v>
      </c>
      <c r="I135" s="94">
        <f>ROUND(IF(E30=0,0,IF(E30&gt;250,-(((250/E30)*H135)*IF(G135="H",0.02,0.05)),IF(G135="H",-0.02*H135,-0.05*H135))),2)</f>
        <v>-9604.52</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391243.06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-391680.55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-437.48999999999069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-437.49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119</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38.700000000000003</v>
      </c>
      <c r="D14" s="141">
        <v>34.590000000000003</v>
      </c>
      <c r="E14" s="187">
        <f>IF(D$30=0,C14*2,C14+D14)</f>
        <v>73.290000000000006</v>
      </c>
      <c r="F14" s="687">
        <f>'1461'!F14:G14</f>
        <v>1.1220000000000001</v>
      </c>
      <c r="G14" s="687"/>
      <c r="H14" s="145">
        <f>ROUND(E14*F14,4)</f>
        <v>82.231399999999994</v>
      </c>
      <c r="I14" s="111">
        <f>ROUND(ROUND(ROUND(H14*$C$8,4)*($H$8),2)*(MAX($H$9,1)),2)</f>
        <v>441328.2</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4.5</v>
      </c>
      <c r="D15" s="143">
        <v>4.5</v>
      </c>
      <c r="E15" s="116">
        <f t="shared" ref="E15:E29" si="1">IF(D$30=0,C15*2,C15+D15)</f>
        <v>9</v>
      </c>
      <c r="F15" s="679">
        <f>'1461'!F15:G15</f>
        <v>1.1220000000000001</v>
      </c>
      <c r="G15" s="679"/>
      <c r="H15" s="80">
        <f t="shared" ref="H15:H29" si="2">ROUND(E15*F15,4)</f>
        <v>10.098000000000001</v>
      </c>
      <c r="I15" s="101">
        <f t="shared" ref="I15:I29" si="3">ROUND(ROUND(ROUND(H15*$C$8,4)*($H$8),2)*(MAX($H$9,1)),2)</f>
        <v>54195.02</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18.63</v>
      </c>
      <c r="D16" s="143">
        <v>18.68</v>
      </c>
      <c r="E16" s="116">
        <f t="shared" si="1"/>
        <v>37.31</v>
      </c>
      <c r="F16" s="679">
        <f>'1461'!F16:G16</f>
        <v>1</v>
      </c>
      <c r="G16" s="679"/>
      <c r="H16" s="80">
        <f t="shared" si="2"/>
        <v>37.31</v>
      </c>
      <c r="I16" s="101">
        <f t="shared" si="3"/>
        <v>200239.27</v>
      </c>
      <c r="N16" s="621" t="s">
        <v>22</v>
      </c>
      <c r="O16" s="621"/>
      <c r="P16" s="662">
        <f t="shared" si="0"/>
        <v>0</v>
      </c>
      <c r="Q16" s="662"/>
      <c r="R16" s="667">
        <v>1</v>
      </c>
      <c r="S16" s="667"/>
      <c r="T16" s="95">
        <f t="shared" si="4"/>
        <v>0</v>
      </c>
      <c r="U16" s="486">
        <f t="shared" si="5"/>
        <v>0</v>
      </c>
    </row>
    <row r="17" spans="1:21" x14ac:dyDescent="0.25">
      <c r="A17" s="596" t="s">
        <v>23</v>
      </c>
      <c r="B17" s="596"/>
      <c r="C17" s="143">
        <v>3.5</v>
      </c>
      <c r="D17" s="143">
        <v>3.5</v>
      </c>
      <c r="E17" s="116">
        <f t="shared" si="1"/>
        <v>7</v>
      </c>
      <c r="F17" s="679">
        <f>'1461'!F17:G17</f>
        <v>1</v>
      </c>
      <c r="G17" s="679"/>
      <c r="H17" s="80">
        <f t="shared" si="2"/>
        <v>7</v>
      </c>
      <c r="I17" s="101">
        <f t="shared" si="3"/>
        <v>37568.339999999997</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29.79</v>
      </c>
      <c r="D26" s="143">
        <v>31.24</v>
      </c>
      <c r="E26" s="116">
        <f t="shared" si="1"/>
        <v>61.03</v>
      </c>
      <c r="F26" s="679">
        <f>'1461'!F26:G26</f>
        <v>1.208</v>
      </c>
      <c r="G26" s="679"/>
      <c r="H26" s="80">
        <f t="shared" si="2"/>
        <v>73.724199999999996</v>
      </c>
      <c r="I26" s="101">
        <f t="shared" si="3"/>
        <v>395670.86</v>
      </c>
      <c r="N26" s="621" t="s">
        <v>85</v>
      </c>
      <c r="O26" s="621"/>
      <c r="P26" s="662">
        <f t="shared" si="0"/>
        <v>0</v>
      </c>
      <c r="Q26" s="662"/>
      <c r="R26" s="667">
        <v>1</v>
      </c>
      <c r="S26" s="667"/>
      <c r="T26" s="95">
        <f t="shared" si="4"/>
        <v>0</v>
      </c>
      <c r="U26" s="486">
        <f t="shared" si="5"/>
        <v>0</v>
      </c>
    </row>
    <row r="27" spans="1:21" x14ac:dyDescent="0.25">
      <c r="A27" s="596" t="s">
        <v>86</v>
      </c>
      <c r="B27" s="596"/>
      <c r="C27" s="143">
        <v>6.37</v>
      </c>
      <c r="D27" s="143">
        <v>6.86</v>
      </c>
      <c r="E27" s="116">
        <f t="shared" si="1"/>
        <v>13.23</v>
      </c>
      <c r="F27" s="679">
        <f>'1461'!F27:G27</f>
        <v>1.208</v>
      </c>
      <c r="G27" s="679"/>
      <c r="H27" s="80">
        <f t="shared" si="2"/>
        <v>15.9818</v>
      </c>
      <c r="I27" s="101">
        <f t="shared" si="3"/>
        <v>85772.82</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101.49000000000001</v>
      </c>
      <c r="D30" s="94">
        <f>SUM(D14:D29)</f>
        <v>99.37</v>
      </c>
      <c r="E30" s="94">
        <f>SUM(E14:E29)</f>
        <v>200.85999999999999</v>
      </c>
      <c r="F30" s="600"/>
      <c r="G30" s="600"/>
      <c r="H30" s="99">
        <f>SUM(H14:H29)</f>
        <v>226.34539999999998</v>
      </c>
      <c r="I30" s="94">
        <f>SUM(I14:I29)</f>
        <v>1214774.51</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226.34539999999998</v>
      </c>
      <c r="F46" s="34"/>
      <c r="G46" s="106"/>
      <c r="H46" s="107" t="s">
        <v>98</v>
      </c>
      <c r="I46" s="94">
        <f>SUM(I44,I30)</f>
        <v>1214774.51</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1207777.1299999999</v>
      </c>
      <c r="G51" s="109" t="s">
        <v>6</v>
      </c>
      <c r="H51" s="415">
        <v>4.5199999999999997E-2</v>
      </c>
      <c r="I51" s="101">
        <f>ROUND(F51*H51,2)</f>
        <v>54591.53</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1207777.1299999999</v>
      </c>
      <c r="G52" s="109" t="s">
        <v>6</v>
      </c>
      <c r="H52" s="415">
        <v>1.41E-2</v>
      </c>
      <c r="I52" s="101">
        <f>ROUND(F52*H52,2)</f>
        <v>17029.66</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71621.19</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4</v>
      </c>
      <c r="D57" s="143">
        <v>4.08</v>
      </c>
      <c r="E57" s="116">
        <f t="shared" ref="E57:E65" si="10">IF(D$66=0,C57*2,C57+D57)</f>
        <v>8.08</v>
      </c>
      <c r="F57" s="456" t="s">
        <v>462</v>
      </c>
      <c r="G57" s="456">
        <v>251</v>
      </c>
      <c r="H57" s="470">
        <f>'1461'!H57</f>
        <v>1047</v>
      </c>
      <c r="I57" s="101">
        <f>ROUND(E57*H57,2)</f>
        <v>8459.76</v>
      </c>
      <c r="N57" s="638" t="s">
        <v>470</v>
      </c>
      <c r="O57" s="638"/>
      <c r="P57" s="641"/>
      <c r="Q57" s="641"/>
      <c r="R57" s="462" t="s">
        <v>462</v>
      </c>
      <c r="S57" s="462">
        <v>251</v>
      </c>
      <c r="T57" s="473">
        <f>H57</f>
        <v>1047</v>
      </c>
      <c r="U57" s="487">
        <f>ROUND(P57*T57,2)</f>
        <v>0</v>
      </c>
      <c r="V57" s="438"/>
    </row>
    <row r="58" spans="1:22" x14ac:dyDescent="0.25">
      <c r="A58" s="607"/>
      <c r="B58" s="607"/>
      <c r="C58" s="143">
        <v>0.5</v>
      </c>
      <c r="D58" s="143">
        <v>0.42</v>
      </c>
      <c r="E58" s="116">
        <f t="shared" si="10"/>
        <v>0.91999999999999993</v>
      </c>
      <c r="F58" s="456" t="s">
        <v>462</v>
      </c>
      <c r="G58" s="456">
        <v>252</v>
      </c>
      <c r="H58" s="470">
        <f>'1461'!H58</f>
        <v>3380</v>
      </c>
      <c r="I58" s="101">
        <f t="shared" ref="I58:I65" si="11">ROUND(E58*H58,2)</f>
        <v>3109.6</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3.5</v>
      </c>
      <c r="D60" s="143">
        <v>3.08</v>
      </c>
      <c r="E60" s="116">
        <f t="shared" si="10"/>
        <v>6.58</v>
      </c>
      <c r="F60" s="457" t="s">
        <v>13</v>
      </c>
      <c r="G60" s="456">
        <v>251</v>
      </c>
      <c r="H60" s="470">
        <f>'1461'!H60</f>
        <v>1173</v>
      </c>
      <c r="I60" s="101">
        <f t="shared" si="11"/>
        <v>7718.34</v>
      </c>
      <c r="N60" s="639"/>
      <c r="O60" s="639"/>
      <c r="P60" s="642"/>
      <c r="Q60" s="642"/>
      <c r="R60" s="40" t="s">
        <v>13</v>
      </c>
      <c r="S60" s="462">
        <v>251</v>
      </c>
      <c r="T60" s="473">
        <f t="shared" si="12"/>
        <v>1173</v>
      </c>
      <c r="U60" s="487">
        <f t="shared" si="13"/>
        <v>0</v>
      </c>
      <c r="V60" s="438"/>
    </row>
    <row r="61" spans="1:22" x14ac:dyDescent="0.25">
      <c r="A61" s="607"/>
      <c r="B61" s="607"/>
      <c r="C61" s="143">
        <v>0</v>
      </c>
      <c r="D61" s="143">
        <v>0.42</v>
      </c>
      <c r="E61" s="116">
        <f t="shared" si="10"/>
        <v>0.42</v>
      </c>
      <c r="F61" s="457" t="s">
        <v>13</v>
      </c>
      <c r="G61" s="456">
        <v>252</v>
      </c>
      <c r="H61" s="470">
        <f>'1461'!H61</f>
        <v>3506</v>
      </c>
      <c r="I61" s="101">
        <f t="shared" si="11"/>
        <v>1472.52</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8</v>
      </c>
      <c r="D66" s="97">
        <f>SUM(D57:D65)</f>
        <v>8</v>
      </c>
      <c r="E66" s="97">
        <f>SUM(E57:E65)</f>
        <v>16</v>
      </c>
      <c r="F66" s="608" t="s">
        <v>471</v>
      </c>
      <c r="G66" s="608"/>
      <c r="H66" s="608"/>
      <c r="I66" s="97">
        <f>SUM(I57:I65)</f>
        <v>20760.22</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200.85999999999999</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9.9099999999999991E-4</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226.34539999999998</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9.9200000000000004E-4</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200.85999999999999</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1.0759999999999999E-3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200.85999999999999</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9.9299999999999996E-4</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200.85999999999999</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1.078E-3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9.9299999999999996E-4</v>
      </c>
      <c r="I85" s="101">
        <f>ROUND(F85*H85,2)</f>
        <v>44191.13</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9.9099999999999991E-4</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1.078E-3</v>
      </c>
      <c r="I90" s="101">
        <f>ROUND(F90*H90,2)</f>
        <v>17581.28</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1.0759999999999999E-3</v>
      </c>
      <c r="I92" s="101">
        <f t="shared" ref="I92:I96" si="14">ROUND(F92*H92,2)</f>
        <v>10919.95</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9.9200000000000004E-4</v>
      </c>
      <c r="I94" s="101">
        <f t="shared" si="14"/>
        <v>237085.69</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9.9200000000000004E-4</v>
      </c>
      <c r="I96" s="101">
        <f t="shared" si="14"/>
        <v>0</v>
      </c>
      <c r="N96" s="620" t="s">
        <v>446</v>
      </c>
      <c r="O96" s="621"/>
      <c r="P96" s="621"/>
      <c r="Q96" s="44"/>
      <c r="R96" s="433">
        <f t="shared" si="15"/>
        <v>0</v>
      </c>
      <c r="S96" s="38" t="s">
        <v>6</v>
      </c>
      <c r="T96" s="435">
        <f>T73</f>
        <v>0</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9.9099999999999991E-4</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166.05359999999999</v>
      </c>
      <c r="D104" s="614"/>
      <c r="E104" s="46">
        <f>H8</f>
        <v>1.0442</v>
      </c>
      <c r="F104" s="302">
        <f>'1461'!F104</f>
        <v>947.59</v>
      </c>
      <c r="G104" s="39" t="s">
        <v>12</v>
      </c>
      <c r="H104" s="101">
        <f>ROUND(C104*E104*F104,2)</f>
        <v>164305.63</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60.291800000000002</v>
      </c>
      <c r="D105" s="614"/>
      <c r="E105" s="46">
        <f>H8</f>
        <v>1.0442</v>
      </c>
      <c r="F105" s="302">
        <f>'1461'!F105</f>
        <v>904.74</v>
      </c>
      <c r="G105" s="39" t="s">
        <v>12</v>
      </c>
      <c r="H105" s="101">
        <f>ROUND(C105*E105*F105,2)</f>
        <v>56959.44</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226.34539999999998</v>
      </c>
      <c r="D107" s="604"/>
      <c r="E107" s="123"/>
      <c r="F107" s="123"/>
      <c r="G107" s="123"/>
      <c r="H107" s="124" t="s">
        <v>100</v>
      </c>
      <c r="I107" s="101">
        <f>IF(A1=75,0,H106+H105+H104)</f>
        <v>221265.07</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25</v>
      </c>
      <c r="D113" s="143">
        <v>32</v>
      </c>
      <c r="E113" s="116">
        <f>(C113+D113)/2</f>
        <v>28.5</v>
      </c>
      <c r="F113" s="126" t="s">
        <v>30</v>
      </c>
      <c r="G113" s="303">
        <f>'1461'!G113</f>
        <v>536</v>
      </c>
      <c r="I113" s="101">
        <f>ROUND(G113*E113,2)</f>
        <v>15276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1781853.8499999999</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1710232.66</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1710232.66</v>
      </c>
      <c r="I135" s="94">
        <f>ROUND(IF(E30=0,0,IF(E30&gt;250,-(((250/E30)*H135)*IF(G135="H",0.02,0.05)),IF(G135="H",-0.02*H135,-0.05*H135))),2)</f>
        <v>-85511.63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1696342.2199999997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-1698075.72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-1733.5000000002328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-1733.5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13"/>
  <sheetViews>
    <sheetView tabSelected="1" workbookViewId="0">
      <selection activeCell="C405" sqref="C405"/>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3.28515625" style="188" customWidth="1"/>
    <col min="5" max="5" width="14.42578125" style="188" customWidth="1"/>
    <col min="6" max="6" width="12.140625" style="239" bestFit="1" customWidth="1"/>
    <col min="7" max="7" width="13.5703125" style="188" customWidth="1"/>
    <col min="8" max="8" width="4.28515625" style="239" customWidth="1"/>
    <col min="9" max="9" width="16.140625" style="188" customWidth="1"/>
    <col min="10" max="10" width="9.5703125" style="188" bestFit="1" customWidth="1"/>
    <col min="11" max="16384" width="9.140625" style="188"/>
  </cols>
  <sheetData>
    <row r="1" spans="1:9" ht="12.75" customHeight="1" x14ac:dyDescent="0.2">
      <c r="A1" s="189"/>
      <c r="B1" s="190" t="s">
        <v>546</v>
      </c>
      <c r="C1" s="217"/>
      <c r="I1" s="244"/>
    </row>
    <row r="2" spans="1:9" ht="12.75" customHeight="1" x14ac:dyDescent="0.2">
      <c r="B2" s="238" t="str">
        <f>'1461'!A3</f>
        <v>Based on the FLDOE 2023-24 FEFP Final Calculation</v>
      </c>
      <c r="C2" s="218"/>
      <c r="E2" s="230"/>
      <c r="F2" s="240"/>
      <c r="G2" s="230"/>
    </row>
    <row r="3" spans="1:9" ht="12.75" customHeight="1" x14ac:dyDescent="0.2">
      <c r="B3" s="191"/>
      <c r="C3" s="218"/>
      <c r="E3" s="230"/>
      <c r="F3" s="564"/>
      <c r="G3" s="564"/>
    </row>
    <row r="4" spans="1:9" ht="12.75" customHeight="1" x14ac:dyDescent="0.2">
      <c r="A4" s="192"/>
      <c r="B4" s="193" t="s">
        <v>157</v>
      </c>
      <c r="C4" s="221" t="s">
        <v>227</v>
      </c>
      <c r="D4" s="194" t="s">
        <v>158</v>
      </c>
      <c r="E4" s="234" t="s">
        <v>2</v>
      </c>
      <c r="F4" s="270" t="s">
        <v>251</v>
      </c>
      <c r="G4" s="234" t="s">
        <v>232</v>
      </c>
    </row>
    <row r="5" spans="1:9" s="260" customFormat="1" ht="13.5" customHeight="1" x14ac:dyDescent="0.2">
      <c r="A5" s="199">
        <v>1</v>
      </c>
      <c r="B5" s="200" t="s">
        <v>159</v>
      </c>
      <c r="C5" s="220" t="s">
        <v>191</v>
      </c>
      <c r="D5" s="507" t="s">
        <v>541</v>
      </c>
      <c r="E5" s="201">
        <f>'1461'!I$145</f>
        <v>-7112.47</v>
      </c>
      <c r="F5" s="342"/>
      <c r="G5" s="201">
        <f>SUBTOTAL(109,E5:F26)</f>
        <v>-7112.47</v>
      </c>
      <c r="H5" s="259"/>
    </row>
    <row r="6" spans="1:9" s="260" customFormat="1" ht="12.75" hidden="1" customHeight="1" x14ac:dyDescent="0.2">
      <c r="A6" s="199"/>
      <c r="B6" s="200"/>
      <c r="C6" s="220"/>
      <c r="D6" s="233" t="s">
        <v>279</v>
      </c>
      <c r="E6" s="201"/>
      <c r="F6" s="342"/>
      <c r="G6" s="201"/>
      <c r="H6" s="259"/>
    </row>
    <row r="7" spans="1:9" s="260" customFormat="1" ht="12.75" hidden="1" customHeight="1" x14ac:dyDescent="0.2">
      <c r="A7" s="199"/>
      <c r="B7" s="200"/>
      <c r="C7" s="220"/>
      <c r="D7" s="387" t="s">
        <v>498</v>
      </c>
      <c r="E7" s="201"/>
      <c r="F7" s="342"/>
      <c r="G7" s="201"/>
      <c r="H7" s="259"/>
    </row>
    <row r="8" spans="1:9" s="260" customFormat="1" ht="12.75" hidden="1" customHeight="1" x14ac:dyDescent="0.2">
      <c r="A8" s="199"/>
      <c r="B8" s="200"/>
      <c r="C8" s="220"/>
      <c r="D8" s="233" t="s">
        <v>281</v>
      </c>
      <c r="E8" s="201"/>
      <c r="F8" s="342"/>
      <c r="G8" s="201"/>
      <c r="H8" s="259"/>
    </row>
    <row r="9" spans="1:9" s="260" customFormat="1" ht="12.75" hidden="1" customHeight="1" x14ac:dyDescent="0.2">
      <c r="A9" s="199"/>
      <c r="B9" s="200"/>
      <c r="C9" s="220"/>
      <c r="D9" s="233" t="s">
        <v>280</v>
      </c>
      <c r="E9" s="201"/>
      <c r="F9" s="342"/>
      <c r="G9" s="201"/>
      <c r="H9" s="259"/>
    </row>
    <row r="10" spans="1:9" s="260" customFormat="1" ht="12.75" hidden="1" customHeight="1" x14ac:dyDescent="0.2">
      <c r="A10" s="199"/>
      <c r="B10" s="200"/>
      <c r="C10" s="220"/>
      <c r="D10" s="233" t="s">
        <v>289</v>
      </c>
      <c r="E10" s="201"/>
      <c r="F10" s="342"/>
      <c r="G10" s="201"/>
      <c r="H10" s="259"/>
    </row>
    <row r="11" spans="1:9" s="260" customFormat="1" ht="12.75" hidden="1" customHeight="1" x14ac:dyDescent="0.2">
      <c r="A11" s="199"/>
      <c r="B11" s="200"/>
      <c r="C11" s="220"/>
      <c r="D11" s="233" t="s">
        <v>258</v>
      </c>
      <c r="E11" s="201"/>
      <c r="F11" s="342"/>
      <c r="G11" s="201"/>
      <c r="H11" s="259"/>
    </row>
    <row r="12" spans="1:9" s="260" customFormat="1" ht="12.75" hidden="1" customHeight="1" x14ac:dyDescent="0.2">
      <c r="A12" s="199"/>
      <c r="B12" s="200"/>
      <c r="C12" s="229"/>
      <c r="D12" s="279" t="s">
        <v>285</v>
      </c>
      <c r="E12" s="201"/>
      <c r="F12" s="342"/>
      <c r="G12" s="201"/>
      <c r="H12" s="259"/>
    </row>
    <row r="13" spans="1:9" s="260" customFormat="1" ht="12.75" hidden="1" customHeight="1" x14ac:dyDescent="0.2">
      <c r="A13" s="199"/>
      <c r="B13" s="200"/>
      <c r="C13" s="229"/>
      <c r="D13" s="279" t="s">
        <v>230</v>
      </c>
      <c r="E13" s="201"/>
      <c r="F13" s="342"/>
      <c r="G13" s="201"/>
      <c r="H13" s="259"/>
    </row>
    <row r="14" spans="1:9" s="260" customFormat="1" ht="12.75" hidden="1" customHeight="1" x14ac:dyDescent="0.2">
      <c r="A14" s="199"/>
      <c r="B14" s="200"/>
      <c r="C14" s="229"/>
      <c r="D14" s="279" t="s">
        <v>231</v>
      </c>
      <c r="E14" s="201"/>
      <c r="F14" s="342"/>
      <c r="G14" s="201"/>
      <c r="H14" s="259"/>
    </row>
    <row r="15" spans="1:9" s="260" customFormat="1" ht="12.75" hidden="1" customHeight="1" x14ac:dyDescent="0.2">
      <c r="A15" s="199"/>
      <c r="B15" s="200"/>
      <c r="C15" s="229"/>
      <c r="D15" s="315" t="s">
        <v>459</v>
      </c>
      <c r="E15" s="201"/>
      <c r="F15" s="342"/>
      <c r="G15" s="201"/>
      <c r="H15" s="259"/>
    </row>
    <row r="16" spans="1:9" s="260" customFormat="1" ht="12.75" hidden="1" customHeight="1" thickBot="1" x14ac:dyDescent="0.25">
      <c r="A16" s="199"/>
      <c r="B16" s="200"/>
      <c r="C16" s="229"/>
      <c r="D16" s="279" t="s">
        <v>337</v>
      </c>
      <c r="E16" s="201"/>
      <c r="F16" s="342"/>
      <c r="G16" s="201"/>
      <c r="H16" s="259"/>
    </row>
    <row r="17" spans="1:11" s="260" customFormat="1" ht="12.75" hidden="1" customHeight="1" x14ac:dyDescent="0.2">
      <c r="A17" s="199"/>
      <c r="B17" s="200"/>
      <c r="C17" s="388" t="s">
        <v>369</v>
      </c>
      <c r="D17" s="315" t="s">
        <v>356</v>
      </c>
      <c r="E17" s="201"/>
      <c r="F17" s="342"/>
      <c r="G17" s="201"/>
      <c r="H17" s="259"/>
    </row>
    <row r="18" spans="1:11" s="260" customFormat="1" ht="12.75" hidden="1" customHeight="1" x14ac:dyDescent="0.2">
      <c r="A18" s="199"/>
      <c r="B18" s="200"/>
      <c r="C18" s="229"/>
      <c r="D18" s="315" t="s">
        <v>358</v>
      </c>
      <c r="E18" s="201"/>
      <c r="F18" s="342"/>
      <c r="G18" s="201"/>
      <c r="H18" s="259"/>
    </row>
    <row r="19" spans="1:11" s="260" customFormat="1" ht="12.75" hidden="1" customHeight="1" x14ac:dyDescent="0.2">
      <c r="A19" s="199"/>
      <c r="B19" s="200"/>
      <c r="C19" s="229"/>
      <c r="D19" s="315"/>
      <c r="E19" s="201"/>
      <c r="F19" s="342"/>
      <c r="G19" s="201"/>
      <c r="H19" s="259"/>
    </row>
    <row r="20" spans="1:11" s="260" customFormat="1" ht="12.75" hidden="1" customHeight="1" x14ac:dyDescent="0.2">
      <c r="A20" s="199"/>
      <c r="B20" s="200"/>
      <c r="C20" s="229"/>
      <c r="D20" s="315"/>
      <c r="E20" s="201"/>
      <c r="F20" s="342"/>
      <c r="G20" s="201"/>
      <c r="H20" s="259"/>
    </row>
    <row r="21" spans="1:11" s="260" customFormat="1" ht="12.75" hidden="1" customHeight="1" x14ac:dyDescent="0.2">
      <c r="A21" s="199"/>
      <c r="B21" s="200"/>
      <c r="C21" s="229"/>
      <c r="D21" s="315" t="s">
        <v>366</v>
      </c>
      <c r="E21" s="201"/>
      <c r="F21" s="342"/>
      <c r="G21" s="201"/>
      <c r="H21" s="259"/>
    </row>
    <row r="22" spans="1:11" s="260" customFormat="1" ht="12.75" hidden="1" customHeight="1" x14ac:dyDescent="0.2">
      <c r="A22" s="199"/>
      <c r="B22" s="200"/>
      <c r="C22" s="229"/>
      <c r="D22" s="315" t="s">
        <v>367</v>
      </c>
      <c r="E22" s="201"/>
      <c r="F22" s="342"/>
      <c r="G22" s="201"/>
      <c r="H22" s="259"/>
    </row>
    <row r="23" spans="1:11" s="260" customFormat="1" ht="12.75" hidden="1" customHeight="1" thickBot="1" x14ac:dyDescent="0.25">
      <c r="A23" s="199"/>
      <c r="B23" s="200"/>
      <c r="C23" s="229"/>
      <c r="D23" s="315" t="s">
        <v>368</v>
      </c>
      <c r="E23" s="201"/>
      <c r="F23" s="342"/>
      <c r="G23" s="201"/>
      <c r="H23" s="259"/>
    </row>
    <row r="24" spans="1:11" s="260" customFormat="1" ht="12.75" hidden="1" customHeight="1" x14ac:dyDescent="0.2">
      <c r="A24" s="199"/>
      <c r="B24" s="200"/>
      <c r="C24" s="229"/>
      <c r="D24" s="315" t="s">
        <v>371</v>
      </c>
      <c r="E24" s="201"/>
      <c r="F24" s="342"/>
      <c r="G24" s="201"/>
      <c r="H24" s="259"/>
    </row>
    <row r="25" spans="1:11" s="260" customFormat="1" ht="12.75" hidden="1" customHeight="1" x14ac:dyDescent="0.2">
      <c r="A25" s="199"/>
      <c r="B25" s="200"/>
      <c r="C25" s="229"/>
      <c r="D25" s="315" t="s">
        <v>372</v>
      </c>
      <c r="E25" s="201"/>
      <c r="F25" s="342"/>
      <c r="G25" s="201"/>
      <c r="H25" s="259"/>
    </row>
    <row r="26" spans="1:11" s="260" customFormat="1" ht="12.75" hidden="1" customHeight="1" x14ac:dyDescent="0.2">
      <c r="A26" s="199"/>
      <c r="B26" s="200"/>
      <c r="C26" s="229"/>
      <c r="D26" s="315"/>
      <c r="E26" s="201"/>
      <c r="F26" s="342"/>
      <c r="G26" s="201"/>
      <c r="H26" s="259"/>
    </row>
    <row r="27" spans="1:11" s="260" customFormat="1" ht="12.75" customHeight="1" x14ac:dyDescent="0.2">
      <c r="A27" s="195">
        <f>1+A5</f>
        <v>2</v>
      </c>
      <c r="B27" s="196" t="s">
        <v>160</v>
      </c>
      <c r="C27" s="219" t="s">
        <v>193</v>
      </c>
      <c r="D27" s="506" t="str">
        <f>$D$5</f>
        <v>FTE June 2024</v>
      </c>
      <c r="E27" s="198">
        <f>'1571'!I$145</f>
        <v>13200.45</v>
      </c>
      <c r="F27" s="343"/>
      <c r="G27" s="198">
        <f>SUBTOTAL(109,E27:F42)</f>
        <v>13200.45</v>
      </c>
      <c r="H27" s="259"/>
    </row>
    <row r="28" spans="1:11" s="260" customFormat="1" ht="12.75" hidden="1" customHeight="1" x14ac:dyDescent="0.2">
      <c r="A28" s="195"/>
      <c r="B28" s="196"/>
      <c r="C28" s="378"/>
      <c r="D28" s="232" t="s">
        <v>279</v>
      </c>
      <c r="E28" s="198"/>
      <c r="F28" s="343"/>
      <c r="G28" s="198"/>
      <c r="H28" s="259"/>
    </row>
    <row r="29" spans="1:11" s="260" customFormat="1" ht="12.75" hidden="1" customHeight="1" x14ac:dyDescent="0.2">
      <c r="A29" s="195"/>
      <c r="B29" s="196"/>
      <c r="C29" s="219"/>
      <c r="D29" s="350" t="s">
        <v>498</v>
      </c>
      <c r="E29" s="198"/>
      <c r="F29" s="343"/>
      <c r="G29" s="198"/>
      <c r="H29" s="259"/>
    </row>
    <row r="30" spans="1:11" s="260" customFormat="1" ht="12.75" hidden="1" customHeight="1" x14ac:dyDescent="0.2">
      <c r="A30" s="195"/>
      <c r="B30" s="196"/>
      <c r="C30" s="241"/>
      <c r="D30" s="350" t="s">
        <v>361</v>
      </c>
      <c r="E30" s="198"/>
      <c r="F30" s="343"/>
      <c r="G30" s="198"/>
      <c r="H30" s="259"/>
    </row>
    <row r="31" spans="1:11" s="260" customFormat="1" ht="12.75" hidden="1" customHeight="1" x14ac:dyDescent="0.2">
      <c r="A31" s="195"/>
      <c r="B31" s="196"/>
      <c r="C31" s="219"/>
      <c r="D31" s="232" t="s">
        <v>281</v>
      </c>
      <c r="E31" s="198"/>
      <c r="F31" s="343"/>
      <c r="G31" s="198"/>
      <c r="H31" s="259"/>
      <c r="K31" s="333">
        <v>44630</v>
      </c>
    </row>
    <row r="32" spans="1:11" s="260" customFormat="1" ht="12.75" hidden="1" customHeight="1" x14ac:dyDescent="0.2">
      <c r="A32" s="195"/>
      <c r="B32" s="196"/>
      <c r="C32" s="219"/>
      <c r="D32" s="232" t="s">
        <v>280</v>
      </c>
      <c r="E32" s="198"/>
      <c r="F32" s="343"/>
      <c r="G32" s="198"/>
      <c r="H32" s="259"/>
      <c r="K32" s="333">
        <f>K31-60</f>
        <v>44570</v>
      </c>
    </row>
    <row r="33" spans="1:13" s="260" customFormat="1" ht="12.75" hidden="1" customHeight="1" x14ac:dyDescent="0.2">
      <c r="A33" s="195"/>
      <c r="B33" s="196"/>
      <c r="C33" s="219"/>
      <c r="D33" s="232" t="s">
        <v>289</v>
      </c>
      <c r="E33" s="198"/>
      <c r="F33" s="343"/>
      <c r="G33" s="198"/>
      <c r="H33" s="259"/>
    </row>
    <row r="34" spans="1:13" s="260" customFormat="1" ht="12.75" hidden="1" customHeight="1" x14ac:dyDescent="0.2">
      <c r="A34" s="195"/>
      <c r="B34" s="196"/>
      <c r="C34" s="219"/>
      <c r="D34" s="232" t="s">
        <v>258</v>
      </c>
      <c r="E34" s="198"/>
      <c r="F34" s="343"/>
      <c r="G34" s="198"/>
      <c r="H34" s="259"/>
    </row>
    <row r="35" spans="1:13" s="260" customFormat="1" ht="12.75" hidden="1" customHeight="1" x14ac:dyDescent="0.2">
      <c r="A35" s="195"/>
      <c r="B35" s="196"/>
      <c r="C35" s="231"/>
      <c r="D35" s="276" t="s">
        <v>230</v>
      </c>
      <c r="E35" s="198"/>
      <c r="F35" s="343"/>
      <c r="G35" s="198"/>
      <c r="H35" s="259"/>
    </row>
    <row r="36" spans="1:13" s="260" customFormat="1" ht="12.75" hidden="1" customHeight="1" x14ac:dyDescent="0.2">
      <c r="A36" s="195"/>
      <c r="B36" s="196"/>
      <c r="C36" s="231"/>
      <c r="D36" s="276" t="s">
        <v>231</v>
      </c>
      <c r="E36" s="198"/>
      <c r="F36" s="343"/>
      <c r="G36" s="198"/>
      <c r="H36" s="259"/>
    </row>
    <row r="37" spans="1:13" s="260" customFormat="1" ht="12.75" hidden="1" customHeight="1" x14ac:dyDescent="0.2">
      <c r="A37" s="195"/>
      <c r="B37" s="196"/>
      <c r="C37" s="231"/>
      <c r="D37" s="276" t="s">
        <v>459</v>
      </c>
      <c r="E37" s="198"/>
      <c r="F37" s="343"/>
      <c r="G37" s="198"/>
      <c r="H37" s="259"/>
    </row>
    <row r="38" spans="1:13" s="260" customFormat="1" ht="12.75" hidden="1" customHeight="1" x14ac:dyDescent="0.2">
      <c r="A38" s="195"/>
      <c r="B38" s="196"/>
      <c r="C38" s="231"/>
      <c r="D38" s="276" t="s">
        <v>337</v>
      </c>
      <c r="E38" s="198"/>
      <c r="F38" s="343"/>
      <c r="G38" s="198"/>
      <c r="H38" s="259"/>
    </row>
    <row r="39" spans="1:13" s="260" customFormat="1" ht="12.75" hidden="1" customHeight="1" x14ac:dyDescent="0.2">
      <c r="A39" s="195"/>
      <c r="B39" s="196"/>
      <c r="C39" s="389" t="s">
        <v>370</v>
      </c>
      <c r="D39" s="276" t="s">
        <v>356</v>
      </c>
      <c r="E39" s="198"/>
      <c r="F39" s="343">
        <v>0</v>
      </c>
      <c r="G39" s="198"/>
      <c r="H39" s="296"/>
    </row>
    <row r="40" spans="1:13" s="260" customFormat="1" ht="12.75" hidden="1" customHeight="1" x14ac:dyDescent="0.2">
      <c r="A40" s="195"/>
      <c r="B40" s="196"/>
      <c r="C40" s="231"/>
      <c r="D40" s="351" t="s">
        <v>358</v>
      </c>
      <c r="E40" s="198"/>
      <c r="F40" s="343"/>
      <c r="G40" s="198"/>
      <c r="H40" s="259"/>
    </row>
    <row r="41" spans="1:13" s="260" customFormat="1" ht="12.75" hidden="1" customHeight="1" x14ac:dyDescent="0.2">
      <c r="A41" s="195"/>
      <c r="B41" s="196"/>
      <c r="C41" s="231"/>
      <c r="D41" s="276" t="s">
        <v>345</v>
      </c>
      <c r="E41" s="198"/>
      <c r="F41" s="343">
        <v>0</v>
      </c>
      <c r="G41" s="198"/>
      <c r="H41" s="259"/>
    </row>
    <row r="42" spans="1:13" s="260" customFormat="1" ht="12.75" hidden="1" customHeight="1" x14ac:dyDescent="0.2">
      <c r="A42" s="195"/>
      <c r="B42" s="196"/>
      <c r="C42" s="231"/>
      <c r="D42" s="451" t="s">
        <v>497</v>
      </c>
      <c r="E42" s="198"/>
      <c r="F42" s="343"/>
      <c r="G42" s="198"/>
      <c r="H42" s="259"/>
    </row>
    <row r="43" spans="1:13" s="260" customFormat="1" ht="12.75" customHeight="1" x14ac:dyDescent="0.2">
      <c r="A43" s="199">
        <f>1+A27</f>
        <v>3</v>
      </c>
      <c r="B43" s="200" t="s">
        <v>161</v>
      </c>
      <c r="C43" s="220" t="s">
        <v>194</v>
      </c>
      <c r="D43" s="277" t="str">
        <f>$D$5</f>
        <v>FTE June 2024</v>
      </c>
      <c r="E43" s="201">
        <f>'2521'!I$145</f>
        <v>7847.96</v>
      </c>
      <c r="F43" s="342"/>
      <c r="G43" s="201">
        <f>SUBTOTAL(109,E43:F49)</f>
        <v>7847.96</v>
      </c>
      <c r="H43" s="259"/>
    </row>
    <row r="44" spans="1:13" s="260" customFormat="1" ht="12.75" hidden="1" customHeight="1" x14ac:dyDescent="0.2">
      <c r="A44" s="199"/>
      <c r="B44" s="200"/>
      <c r="C44" s="220"/>
      <c r="D44" s="233" t="s">
        <v>279</v>
      </c>
      <c r="E44" s="201"/>
      <c r="F44" s="342"/>
      <c r="G44" s="201"/>
      <c r="H44" s="259"/>
      <c r="I44" s="334"/>
    </row>
    <row r="45" spans="1:13" s="260" customFormat="1" ht="12.75" hidden="1" customHeight="1" x14ac:dyDescent="0.2">
      <c r="A45" s="199"/>
      <c r="B45" s="200"/>
      <c r="C45" s="220"/>
      <c r="D45" s="233" t="s">
        <v>281</v>
      </c>
      <c r="E45" s="201"/>
      <c r="F45" s="342"/>
      <c r="G45" s="201"/>
      <c r="H45" s="259"/>
      <c r="I45" s="334"/>
    </row>
    <row r="46" spans="1:13" s="260" customFormat="1" ht="12.75" hidden="1" customHeight="1" x14ac:dyDescent="0.2">
      <c r="A46" s="199"/>
      <c r="B46" s="200"/>
      <c r="C46" s="220"/>
      <c r="D46" s="233" t="s">
        <v>280</v>
      </c>
      <c r="E46" s="201"/>
      <c r="F46" s="342"/>
      <c r="G46" s="201"/>
      <c r="H46" s="259"/>
      <c r="I46" s="334"/>
    </row>
    <row r="47" spans="1:13" s="260" customFormat="1" ht="12.75" hidden="1" customHeight="1" x14ac:dyDescent="0.2">
      <c r="A47" s="199"/>
      <c r="B47" s="200"/>
      <c r="C47" s="220"/>
      <c r="D47" s="233" t="s">
        <v>289</v>
      </c>
      <c r="E47" s="201"/>
      <c r="F47" s="342"/>
      <c r="G47" s="201"/>
      <c r="H47" s="259"/>
      <c r="I47" s="334"/>
      <c r="M47" s="333"/>
    </row>
    <row r="48" spans="1:13" ht="12.75" hidden="1" customHeight="1" x14ac:dyDescent="0.2">
      <c r="A48" s="199"/>
      <c r="B48" s="200"/>
      <c r="C48" s="220"/>
      <c r="D48" s="233" t="s">
        <v>258</v>
      </c>
      <c r="E48" s="201"/>
      <c r="F48" s="342"/>
      <c r="G48" s="201"/>
      <c r="I48" s="334"/>
      <c r="M48" s="295"/>
    </row>
    <row r="49" spans="1:12" ht="12.75" hidden="1" customHeight="1" x14ac:dyDescent="0.2">
      <c r="A49" s="199"/>
      <c r="B49" s="200"/>
      <c r="C49" s="220"/>
      <c r="D49" s="315" t="s">
        <v>345</v>
      </c>
      <c r="E49" s="201"/>
      <c r="F49" s="342"/>
      <c r="G49" s="201"/>
      <c r="I49" s="334"/>
      <c r="L49" s="295"/>
    </row>
    <row r="50" spans="1:12" s="260" customFormat="1" ht="12.75" customHeight="1" x14ac:dyDescent="0.2">
      <c r="A50" s="195">
        <f>1+A43</f>
        <v>4</v>
      </c>
      <c r="B50" s="196">
        <v>2531</v>
      </c>
      <c r="C50" s="219" t="s">
        <v>195</v>
      </c>
      <c r="D50" s="506" t="str">
        <f>$D$5</f>
        <v>FTE June 2024</v>
      </c>
      <c r="E50" s="198">
        <f>'2531'!I$145</f>
        <v>188.55</v>
      </c>
      <c r="F50" s="343"/>
      <c r="G50" s="198">
        <f>SUBTOTAL(109,E50:F61)</f>
        <v>188.55</v>
      </c>
      <c r="H50" s="296"/>
      <c r="I50" s="334"/>
    </row>
    <row r="51" spans="1:12" ht="12.75" hidden="1" customHeight="1" x14ac:dyDescent="0.2">
      <c r="A51" s="195"/>
      <c r="B51" s="196"/>
      <c r="C51" s="219"/>
      <c r="D51" s="232" t="s">
        <v>279</v>
      </c>
      <c r="E51" s="198"/>
      <c r="F51" s="343"/>
      <c r="G51" s="198"/>
      <c r="I51" s="334"/>
    </row>
    <row r="52" spans="1:12" ht="12.75" hidden="1" customHeight="1" x14ac:dyDescent="0.2">
      <c r="A52" s="195"/>
      <c r="B52" s="196"/>
      <c r="C52" s="219"/>
      <c r="D52" s="350" t="s">
        <v>498</v>
      </c>
      <c r="E52" s="198"/>
      <c r="F52" s="343"/>
      <c r="G52" s="198"/>
      <c r="I52" s="334"/>
    </row>
    <row r="53" spans="1:12" s="260" customFormat="1" ht="12.75" hidden="1" customHeight="1" x14ac:dyDescent="0.2">
      <c r="A53" s="195"/>
      <c r="B53" s="196"/>
      <c r="C53" s="219"/>
      <c r="D53" s="232" t="s">
        <v>363</v>
      </c>
      <c r="E53" s="198"/>
      <c r="F53" s="343"/>
      <c r="G53" s="198"/>
      <c r="H53" s="259"/>
      <c r="I53" s="306"/>
    </row>
    <row r="54" spans="1:12" s="260" customFormat="1" ht="12.75" hidden="1" customHeight="1" x14ac:dyDescent="0.2">
      <c r="A54" s="195"/>
      <c r="B54" s="196"/>
      <c r="C54" s="219"/>
      <c r="D54" s="350" t="s">
        <v>361</v>
      </c>
      <c r="E54" s="198"/>
      <c r="F54" s="343"/>
      <c r="G54" s="198"/>
      <c r="H54" s="259"/>
      <c r="I54" s="196"/>
    </row>
    <row r="55" spans="1:12" s="260" customFormat="1" ht="12.75" hidden="1" customHeight="1" x14ac:dyDescent="0.2">
      <c r="A55" s="195"/>
      <c r="B55" s="196"/>
      <c r="C55" s="219"/>
      <c r="D55" s="232" t="s">
        <v>281</v>
      </c>
      <c r="E55" s="198"/>
      <c r="F55" s="343"/>
      <c r="G55" s="198"/>
      <c r="H55" s="259"/>
      <c r="I55" s="196"/>
    </row>
    <row r="56" spans="1:12" s="260" customFormat="1" ht="12.75" hidden="1" customHeight="1" x14ac:dyDescent="0.2">
      <c r="A56" s="195"/>
      <c r="B56" s="196"/>
      <c r="C56" s="219"/>
      <c r="D56" s="232" t="s">
        <v>280</v>
      </c>
      <c r="E56" s="198"/>
      <c r="F56" s="343"/>
      <c r="G56" s="198"/>
      <c r="H56" s="259"/>
      <c r="I56" s="196"/>
    </row>
    <row r="57" spans="1:12" s="260" customFormat="1" ht="12.75" hidden="1" customHeight="1" x14ac:dyDescent="0.2">
      <c r="A57" s="195"/>
      <c r="B57" s="196"/>
      <c r="C57" s="219"/>
      <c r="D57" s="232" t="s">
        <v>289</v>
      </c>
      <c r="E57" s="198"/>
      <c r="F57" s="343"/>
      <c r="G57" s="198"/>
      <c r="H57" s="296"/>
      <c r="I57" s="306"/>
    </row>
    <row r="58" spans="1:12" s="260" customFormat="1" ht="12.75" hidden="1" customHeight="1" x14ac:dyDescent="0.2">
      <c r="A58" s="195"/>
      <c r="B58" s="196"/>
      <c r="C58" s="219"/>
      <c r="D58" s="232" t="s">
        <v>258</v>
      </c>
      <c r="E58" s="198"/>
      <c r="F58" s="343"/>
      <c r="G58" s="198"/>
      <c r="H58" s="259"/>
      <c r="I58" s="306"/>
    </row>
    <row r="59" spans="1:12" s="260" customFormat="1" ht="12.75" hidden="1" customHeight="1" x14ac:dyDescent="0.2">
      <c r="A59" s="195"/>
      <c r="B59" s="196"/>
      <c r="C59" s="219"/>
      <c r="D59" s="232" t="s">
        <v>344</v>
      </c>
      <c r="E59" s="198"/>
      <c r="F59" s="343"/>
      <c r="G59" s="198"/>
      <c r="H59" s="259"/>
      <c r="I59" s="306"/>
    </row>
    <row r="60" spans="1:12" s="260" customFormat="1" ht="12.75" hidden="1" customHeight="1" x14ac:dyDescent="0.2">
      <c r="A60" s="195"/>
      <c r="B60" s="196"/>
      <c r="C60" s="231"/>
      <c r="D60" s="351" t="s">
        <v>358</v>
      </c>
      <c r="E60" s="198"/>
      <c r="F60" s="343"/>
      <c r="G60" s="198"/>
      <c r="H60" s="259"/>
      <c r="I60" s="334"/>
    </row>
    <row r="61" spans="1:12" s="260" customFormat="1" ht="12.75" hidden="1" customHeight="1" x14ac:dyDescent="0.2">
      <c r="A61" s="195"/>
      <c r="B61" s="196"/>
      <c r="C61" s="219"/>
      <c r="D61" s="276" t="s">
        <v>345</v>
      </c>
      <c r="E61" s="198"/>
      <c r="F61" s="343"/>
      <c r="G61" s="198"/>
      <c r="H61" s="259"/>
      <c r="I61" s="231"/>
    </row>
    <row r="62" spans="1:12" s="260" customFormat="1" ht="12.75" customHeight="1" x14ac:dyDescent="0.2">
      <c r="A62" s="199">
        <f>1+A50</f>
        <v>5</v>
      </c>
      <c r="B62" s="200" t="s">
        <v>163</v>
      </c>
      <c r="C62" s="262" t="s">
        <v>256</v>
      </c>
      <c r="D62" s="277" t="str">
        <f>$D$5</f>
        <v>FTE June 2024</v>
      </c>
      <c r="E62" s="201">
        <f>'2791'!I$145</f>
        <v>8074.59</v>
      </c>
      <c r="F62" s="342"/>
      <c r="G62" s="201">
        <f>SUBTOTAL(109,E62:F69)</f>
        <v>8074.59</v>
      </c>
      <c r="H62" s="296"/>
      <c r="I62" s="337"/>
    </row>
    <row r="63" spans="1:12" s="260" customFormat="1" ht="12.75" hidden="1" customHeight="1" x14ac:dyDescent="0.2">
      <c r="A63" s="199"/>
      <c r="B63" s="200"/>
      <c r="C63" s="220"/>
      <c r="D63" s="233" t="s">
        <v>279</v>
      </c>
      <c r="E63" s="201"/>
      <c r="F63" s="342"/>
      <c r="G63" s="201"/>
      <c r="H63" s="259"/>
      <c r="I63" s="231"/>
    </row>
    <row r="64" spans="1:12" s="260" customFormat="1" ht="12.75" hidden="1" customHeight="1" x14ac:dyDescent="0.2">
      <c r="A64" s="199"/>
      <c r="B64" s="200"/>
      <c r="C64" s="220"/>
      <c r="D64" s="387" t="s">
        <v>498</v>
      </c>
      <c r="E64" s="201"/>
      <c r="F64" s="342"/>
      <c r="G64" s="201"/>
      <c r="H64" s="259"/>
      <c r="I64" s="231"/>
    </row>
    <row r="65" spans="1:9" s="260" customFormat="1" ht="12.75" hidden="1" customHeight="1" x14ac:dyDescent="0.2">
      <c r="A65" s="199"/>
      <c r="B65" s="200"/>
      <c r="C65" s="220"/>
      <c r="D65" s="233" t="s">
        <v>281</v>
      </c>
      <c r="E65" s="201"/>
      <c r="F65" s="342"/>
      <c r="G65" s="201"/>
      <c r="H65" s="259"/>
      <c r="I65" s="231"/>
    </row>
    <row r="66" spans="1:9" s="260" customFormat="1" ht="12.75" hidden="1" customHeight="1" x14ac:dyDescent="0.2">
      <c r="A66" s="199"/>
      <c r="B66" s="200"/>
      <c r="C66" s="220"/>
      <c r="D66" s="233" t="s">
        <v>280</v>
      </c>
      <c r="E66" s="201"/>
      <c r="F66" s="342"/>
      <c r="G66" s="201"/>
      <c r="H66" s="259"/>
      <c r="I66" s="231"/>
    </row>
    <row r="67" spans="1:9" s="260" customFormat="1" ht="12.75" hidden="1" customHeight="1" x14ac:dyDescent="0.2">
      <c r="A67" s="199"/>
      <c r="B67" s="200"/>
      <c r="C67" s="220"/>
      <c r="D67" s="233" t="s">
        <v>289</v>
      </c>
      <c r="E67" s="201"/>
      <c r="F67" s="342"/>
      <c r="G67" s="201"/>
      <c r="H67" s="259"/>
      <c r="I67" s="334"/>
    </row>
    <row r="68" spans="1:9" s="260" customFormat="1" ht="12.75" hidden="1" customHeight="1" x14ac:dyDescent="0.2">
      <c r="A68" s="199"/>
      <c r="B68" s="200"/>
      <c r="C68" s="220"/>
      <c r="D68" s="233" t="s">
        <v>258</v>
      </c>
      <c r="E68" s="201"/>
      <c r="F68" s="342"/>
      <c r="G68" s="201"/>
      <c r="H68" s="259"/>
      <c r="I68" s="334"/>
    </row>
    <row r="69" spans="1:9" s="260" customFormat="1" ht="12.75" hidden="1" customHeight="1" x14ac:dyDescent="0.2">
      <c r="A69" s="199"/>
      <c r="B69" s="200"/>
      <c r="C69" s="220"/>
      <c r="D69" s="315" t="s">
        <v>345</v>
      </c>
      <c r="E69" s="201"/>
      <c r="F69" s="342"/>
      <c r="G69" s="201"/>
      <c r="H69" s="259"/>
      <c r="I69" s="334"/>
    </row>
    <row r="70" spans="1:9" s="260" customFormat="1" ht="12.75" customHeight="1" x14ac:dyDescent="0.2">
      <c r="A70" s="195">
        <f>A62+1</f>
        <v>6</v>
      </c>
      <c r="B70" s="196" t="s">
        <v>164</v>
      </c>
      <c r="C70" s="261" t="s">
        <v>379</v>
      </c>
      <c r="D70" s="506" t="str">
        <f>$D$5</f>
        <v>FTE June 2024</v>
      </c>
      <c r="E70" s="198">
        <f>'2801'!I$145</f>
        <v>-6778.84</v>
      </c>
      <c r="F70" s="343"/>
      <c r="G70" s="198">
        <f>SUBTOTAL(109,E70:F79)</f>
        <v>-6778.84</v>
      </c>
      <c r="H70" s="296"/>
      <c r="I70" s="337"/>
    </row>
    <row r="71" spans="1:9" s="260" customFormat="1" ht="12.75" hidden="1" customHeight="1" x14ac:dyDescent="0.2">
      <c r="A71" s="195"/>
      <c r="B71" s="196"/>
      <c r="C71" s="219"/>
      <c r="D71" s="232" t="s">
        <v>279</v>
      </c>
      <c r="E71" s="198"/>
      <c r="F71" s="343"/>
      <c r="G71" s="198"/>
      <c r="H71" s="259"/>
      <c r="I71" s="334"/>
    </row>
    <row r="72" spans="1:9" s="260" customFormat="1" ht="12.75" hidden="1" customHeight="1" x14ac:dyDescent="0.2">
      <c r="A72" s="195"/>
      <c r="B72" s="196"/>
      <c r="C72" s="219"/>
      <c r="D72" s="350" t="s">
        <v>498</v>
      </c>
      <c r="E72" s="198"/>
      <c r="F72" s="343"/>
      <c r="G72" s="198"/>
      <c r="H72" s="296"/>
      <c r="I72" s="306"/>
    </row>
    <row r="73" spans="1:9" s="260" customFormat="1" ht="12.75" hidden="1" customHeight="1" x14ac:dyDescent="0.2">
      <c r="A73" s="195"/>
      <c r="B73" s="196"/>
      <c r="C73" s="219"/>
      <c r="D73" s="232" t="s">
        <v>281</v>
      </c>
      <c r="E73" s="198"/>
      <c r="F73" s="343"/>
      <c r="G73" s="198"/>
      <c r="H73" s="296"/>
      <c r="I73" s="196"/>
    </row>
    <row r="74" spans="1:9" s="260" customFormat="1" ht="12.75" hidden="1" customHeight="1" x14ac:dyDescent="0.2">
      <c r="A74" s="195"/>
      <c r="B74" s="196"/>
      <c r="C74" s="219"/>
      <c r="D74" s="232" t="s">
        <v>354</v>
      </c>
      <c r="E74" s="198"/>
      <c r="F74" s="343"/>
      <c r="G74" s="198"/>
      <c r="H74" s="259"/>
      <c r="I74" s="231"/>
    </row>
    <row r="75" spans="1:9" s="260" customFormat="1" ht="12.75" hidden="1" customHeight="1" x14ac:dyDescent="0.2">
      <c r="A75" s="195"/>
      <c r="B75" s="196"/>
      <c r="C75" s="219"/>
      <c r="D75" s="232" t="s">
        <v>289</v>
      </c>
      <c r="E75" s="198"/>
      <c r="F75" s="343"/>
      <c r="G75" s="198"/>
      <c r="H75" s="296"/>
      <c r="I75" s="196"/>
    </row>
    <row r="76" spans="1:9" s="260" customFormat="1" ht="12.75" hidden="1" customHeight="1" x14ac:dyDescent="0.2">
      <c r="A76" s="195"/>
      <c r="B76" s="196"/>
      <c r="C76" s="219"/>
      <c r="D76" s="232" t="s">
        <v>258</v>
      </c>
      <c r="E76" s="198"/>
      <c r="F76" s="343"/>
      <c r="G76" s="198"/>
      <c r="H76" s="296"/>
      <c r="I76" s="196"/>
    </row>
    <row r="77" spans="1:9" s="260" customFormat="1" ht="12.75" hidden="1" customHeight="1" x14ac:dyDescent="0.2">
      <c r="A77" s="195"/>
      <c r="B77" s="196"/>
      <c r="C77" s="219"/>
      <c r="D77" s="232" t="s">
        <v>303</v>
      </c>
      <c r="E77" s="198"/>
      <c r="F77" s="343"/>
      <c r="G77" s="198"/>
      <c r="H77" s="296"/>
      <c r="I77" s="306"/>
    </row>
    <row r="78" spans="1:9" s="260" customFormat="1" ht="12.75" hidden="1" customHeight="1" x14ac:dyDescent="0.2">
      <c r="A78" s="195"/>
      <c r="B78" s="196"/>
      <c r="C78" s="219"/>
      <c r="D78" s="232" t="s">
        <v>344</v>
      </c>
      <c r="E78" s="198"/>
      <c r="F78" s="343"/>
      <c r="G78" s="198"/>
      <c r="H78" s="259"/>
      <c r="I78" s="306"/>
    </row>
    <row r="79" spans="1:9" s="260" customFormat="1" ht="12.75" hidden="1" customHeight="1" x14ac:dyDescent="0.2">
      <c r="A79" s="195"/>
      <c r="B79" s="196"/>
      <c r="C79" s="219"/>
      <c r="D79" s="276" t="s">
        <v>377</v>
      </c>
      <c r="E79" s="198"/>
      <c r="F79" s="343"/>
      <c r="G79" s="198"/>
      <c r="H79" s="259"/>
      <c r="I79" s="306"/>
    </row>
    <row r="80" spans="1:9" s="260" customFormat="1" ht="12.75" customHeight="1" x14ac:dyDescent="0.2">
      <c r="A80" s="199">
        <f>A70+1</f>
        <v>7</v>
      </c>
      <c r="B80" s="200" t="s">
        <v>165</v>
      </c>
      <c r="C80" s="220" t="s">
        <v>197</v>
      </c>
      <c r="D80" s="277" t="str">
        <f>$D$5</f>
        <v>FTE June 2024</v>
      </c>
      <c r="E80" s="201">
        <f>'2911'!I$145</f>
        <v>-1432.76</v>
      </c>
      <c r="F80" s="342"/>
      <c r="G80" s="201">
        <f>SUBTOTAL(109,E80:F89)</f>
        <v>-1432.76</v>
      </c>
      <c r="H80" s="296"/>
      <c r="I80" s="196"/>
    </row>
    <row r="81" spans="1:9" s="260" customFormat="1" ht="12.75" hidden="1" customHeight="1" x14ac:dyDescent="0.2">
      <c r="A81" s="199"/>
      <c r="B81" s="200"/>
      <c r="C81" s="220"/>
      <c r="D81" s="233" t="s">
        <v>279</v>
      </c>
      <c r="E81" s="201"/>
      <c r="F81" s="342"/>
      <c r="G81" s="201"/>
      <c r="H81" s="296"/>
      <c r="I81" s="196"/>
    </row>
    <row r="82" spans="1:9" s="260" customFormat="1" ht="12.75" hidden="1" customHeight="1" x14ac:dyDescent="0.2">
      <c r="A82" s="199"/>
      <c r="B82" s="200"/>
      <c r="C82" s="220"/>
      <c r="D82" s="387" t="s">
        <v>361</v>
      </c>
      <c r="E82" s="201"/>
      <c r="F82" s="342"/>
      <c r="G82" s="201"/>
      <c r="H82" s="259"/>
      <c r="I82" s="231"/>
    </row>
    <row r="83" spans="1:9" s="260" customFormat="1" ht="12.75" hidden="1" customHeight="1" x14ac:dyDescent="0.2">
      <c r="A83" s="199"/>
      <c r="B83" s="200"/>
      <c r="C83" s="220"/>
      <c r="D83" s="233" t="s">
        <v>281</v>
      </c>
      <c r="E83" s="201"/>
      <c r="F83" s="342"/>
      <c r="G83" s="201"/>
      <c r="H83" s="296"/>
      <c r="I83" s="196"/>
    </row>
    <row r="84" spans="1:9" s="260" customFormat="1" ht="12.75" hidden="1" customHeight="1" x14ac:dyDescent="0.2">
      <c r="A84" s="199"/>
      <c r="B84" s="200"/>
      <c r="C84" s="220"/>
      <c r="D84" s="233" t="s">
        <v>280</v>
      </c>
      <c r="E84" s="201"/>
      <c r="F84" s="342"/>
      <c r="G84" s="201"/>
      <c r="H84" s="296"/>
      <c r="I84" s="196"/>
    </row>
    <row r="85" spans="1:9" s="260" customFormat="1" ht="12.75" hidden="1" customHeight="1" x14ac:dyDescent="0.2">
      <c r="A85" s="199"/>
      <c r="B85" s="200"/>
      <c r="C85" s="220"/>
      <c r="D85" s="233" t="s">
        <v>289</v>
      </c>
      <c r="E85" s="201"/>
      <c r="F85" s="342"/>
      <c r="G85" s="201"/>
      <c r="H85" s="296"/>
      <c r="I85" s="196"/>
    </row>
    <row r="86" spans="1:9" s="260" customFormat="1" ht="12.75" hidden="1" customHeight="1" x14ac:dyDescent="0.2">
      <c r="A86" s="199"/>
      <c r="B86" s="200"/>
      <c r="C86" s="220"/>
      <c r="D86" s="233" t="s">
        <v>258</v>
      </c>
      <c r="E86" s="201"/>
      <c r="F86" s="342"/>
      <c r="G86" s="201"/>
      <c r="H86" s="259"/>
      <c r="I86" s="332"/>
    </row>
    <row r="87" spans="1:9" s="260" customFormat="1" ht="12.75" hidden="1" customHeight="1" x14ac:dyDescent="0.2">
      <c r="A87" s="199"/>
      <c r="B87" s="200"/>
      <c r="C87" s="220"/>
      <c r="D87" s="233" t="s">
        <v>303</v>
      </c>
      <c r="E87" s="201"/>
      <c r="F87" s="342"/>
      <c r="G87" s="201"/>
      <c r="H87" s="296"/>
    </row>
    <row r="88" spans="1:9" s="260" customFormat="1" ht="12.75" hidden="1" customHeight="1" x14ac:dyDescent="0.2">
      <c r="A88" s="199"/>
      <c r="B88" s="200"/>
      <c r="C88" s="229"/>
      <c r="D88" s="315" t="s">
        <v>345</v>
      </c>
      <c r="E88" s="201"/>
      <c r="F88" s="342"/>
      <c r="G88" s="201"/>
      <c r="H88" s="296"/>
      <c r="I88" s="196"/>
    </row>
    <row r="89" spans="1:9" s="260" customFormat="1" ht="12.75" hidden="1" customHeight="1" x14ac:dyDescent="0.2">
      <c r="A89" s="199"/>
      <c r="B89" s="200"/>
      <c r="C89" s="229"/>
      <c r="D89" s="315" t="s">
        <v>389</v>
      </c>
      <c r="E89" s="201"/>
      <c r="F89" s="342"/>
      <c r="G89" s="201"/>
      <c r="H89" s="296"/>
      <c r="I89" s="306"/>
    </row>
    <row r="90" spans="1:9" s="260" customFormat="1" ht="12.75" customHeight="1" x14ac:dyDescent="0.2">
      <c r="A90" s="195">
        <f>A80+1</f>
        <v>8</v>
      </c>
      <c r="B90" s="196" t="s">
        <v>166</v>
      </c>
      <c r="C90" s="219" t="s">
        <v>198</v>
      </c>
      <c r="D90" s="506" t="str">
        <f>$D$5</f>
        <v>FTE June 2024</v>
      </c>
      <c r="E90" s="198">
        <f>'2941'!I$145</f>
        <v>-8509.06</v>
      </c>
      <c r="F90" s="343"/>
      <c r="G90" s="198">
        <f>SUBTOTAL(109,E90:F98)</f>
        <v>-8509.06</v>
      </c>
      <c r="H90" s="296"/>
      <c r="I90" s="196"/>
    </row>
    <row r="91" spans="1:9" s="260" customFormat="1" ht="12.75" hidden="1" customHeight="1" x14ac:dyDescent="0.2">
      <c r="A91" s="195"/>
      <c r="B91" s="196"/>
      <c r="C91" s="219"/>
      <c r="D91" s="232" t="s">
        <v>279</v>
      </c>
      <c r="E91" s="198"/>
      <c r="F91" s="343"/>
      <c r="G91" s="198"/>
      <c r="H91" s="296"/>
      <c r="I91" s="196"/>
    </row>
    <row r="92" spans="1:9" s="260" customFormat="1" ht="12.75" hidden="1" customHeight="1" x14ac:dyDescent="0.2">
      <c r="A92" s="195"/>
      <c r="B92" s="196"/>
      <c r="C92" s="219"/>
      <c r="D92" s="350" t="s">
        <v>498</v>
      </c>
      <c r="E92" s="198"/>
      <c r="F92" s="343"/>
      <c r="G92" s="198"/>
      <c r="H92" s="259"/>
      <c r="I92" s="231"/>
    </row>
    <row r="93" spans="1:9" s="260" customFormat="1" ht="12.75" hidden="1" customHeight="1" x14ac:dyDescent="0.2">
      <c r="A93" s="195"/>
      <c r="B93" s="196"/>
      <c r="C93" s="219"/>
      <c r="D93" s="232" t="s">
        <v>281</v>
      </c>
      <c r="E93" s="198"/>
      <c r="F93" s="343"/>
      <c r="G93" s="198"/>
      <c r="H93" s="296"/>
      <c r="I93" s="196"/>
    </row>
    <row r="94" spans="1:9" s="260" customFormat="1" ht="12.75" hidden="1" customHeight="1" x14ac:dyDescent="0.2">
      <c r="A94" s="195"/>
      <c r="B94" s="196"/>
      <c r="C94" s="219"/>
      <c r="D94" s="232" t="s">
        <v>280</v>
      </c>
      <c r="E94" s="198"/>
      <c r="F94" s="343"/>
      <c r="G94" s="198"/>
      <c r="H94" s="296"/>
      <c r="I94" s="196"/>
    </row>
    <row r="95" spans="1:9" s="260" customFormat="1" ht="12.75" hidden="1" customHeight="1" x14ac:dyDescent="0.2">
      <c r="A95" s="195"/>
      <c r="B95" s="196"/>
      <c r="C95" s="219"/>
      <c r="D95" s="232" t="s">
        <v>289</v>
      </c>
      <c r="E95" s="198"/>
      <c r="F95" s="343"/>
      <c r="G95" s="198"/>
      <c r="H95" s="296"/>
      <c r="I95" s="196"/>
    </row>
    <row r="96" spans="1:9" s="260" customFormat="1" ht="12.75" hidden="1" customHeight="1" x14ac:dyDescent="0.2">
      <c r="A96" s="195"/>
      <c r="B96" s="196"/>
      <c r="C96" s="219"/>
      <c r="D96" s="232" t="s">
        <v>258</v>
      </c>
      <c r="E96" s="198"/>
      <c r="F96" s="343"/>
      <c r="G96" s="198"/>
      <c r="H96" s="259"/>
      <c r="I96" s="332"/>
    </row>
    <row r="97" spans="1:12" s="260" customFormat="1" ht="12.75" hidden="1" customHeight="1" x14ac:dyDescent="0.2">
      <c r="A97" s="195"/>
      <c r="B97" s="196"/>
      <c r="C97" s="219"/>
      <c r="D97" s="232" t="s">
        <v>344</v>
      </c>
      <c r="E97" s="198"/>
      <c r="F97" s="343"/>
      <c r="G97" s="198"/>
      <c r="H97" s="296"/>
      <c r="I97" s="306"/>
    </row>
    <row r="98" spans="1:12" s="260" customFormat="1" ht="12.75" hidden="1" customHeight="1" x14ac:dyDescent="0.2">
      <c r="A98" s="195"/>
      <c r="B98" s="196"/>
      <c r="C98" s="219"/>
      <c r="D98" s="276" t="s">
        <v>345</v>
      </c>
      <c r="E98" s="198"/>
      <c r="F98" s="343"/>
      <c r="G98" s="198"/>
      <c r="H98" s="259"/>
      <c r="I98" s="306"/>
      <c r="J98" s="351"/>
      <c r="K98" s="198"/>
      <c r="L98" s="241"/>
    </row>
    <row r="99" spans="1:12" s="260" customFormat="1" ht="12.75" customHeight="1" x14ac:dyDescent="0.2">
      <c r="A99" s="199">
        <f>A90+1</f>
        <v>9</v>
      </c>
      <c r="B99" s="200" t="s">
        <v>167</v>
      </c>
      <c r="C99" s="262" t="s">
        <v>336</v>
      </c>
      <c r="D99" s="277" t="str">
        <f>$D$5</f>
        <v>FTE June 2024</v>
      </c>
      <c r="E99" s="201">
        <f>'3083'!I$145</f>
        <v>-6702.48</v>
      </c>
      <c r="F99" s="342"/>
      <c r="G99" s="201">
        <f>SUBTOTAL(109,E99:F106)</f>
        <v>-6702.48</v>
      </c>
      <c r="H99" s="259"/>
      <c r="I99" s="306"/>
      <c r="J99" s="351"/>
      <c r="K99" s="198"/>
      <c r="L99" s="241"/>
    </row>
    <row r="100" spans="1:12" s="260" customFormat="1" ht="12.75" hidden="1" customHeight="1" x14ac:dyDescent="0.2">
      <c r="A100" s="199"/>
      <c r="B100" s="200"/>
      <c r="C100" s="220"/>
      <c r="D100" s="233" t="s">
        <v>279</v>
      </c>
      <c r="E100" s="201"/>
      <c r="F100" s="342"/>
      <c r="G100" s="201"/>
      <c r="H100" s="296"/>
      <c r="I100" s="196"/>
    </row>
    <row r="101" spans="1:12" s="260" customFormat="1" ht="12.75" hidden="1" customHeight="1" x14ac:dyDescent="0.2">
      <c r="A101" s="199"/>
      <c r="B101" s="200"/>
      <c r="C101" s="220"/>
      <c r="D101" s="387" t="s">
        <v>498</v>
      </c>
      <c r="E101" s="201"/>
      <c r="F101" s="342"/>
      <c r="G101" s="201"/>
      <c r="H101" s="296"/>
      <c r="I101" s="196"/>
    </row>
    <row r="102" spans="1:12" s="260" customFormat="1" ht="12.75" hidden="1" customHeight="1" x14ac:dyDescent="0.2">
      <c r="A102" s="199"/>
      <c r="B102" s="200"/>
      <c r="C102" s="220"/>
      <c r="D102" s="233" t="s">
        <v>281</v>
      </c>
      <c r="E102" s="201"/>
      <c r="F102" s="342"/>
      <c r="G102" s="201"/>
      <c r="H102" s="259"/>
      <c r="I102" s="231"/>
    </row>
    <row r="103" spans="1:12" s="260" customFormat="1" ht="12.75" hidden="1" customHeight="1" x14ac:dyDescent="0.2">
      <c r="A103" s="199"/>
      <c r="B103" s="200"/>
      <c r="C103" s="220"/>
      <c r="D103" s="233" t="s">
        <v>280</v>
      </c>
      <c r="E103" s="201"/>
      <c r="F103" s="342"/>
      <c r="G103" s="201"/>
      <c r="H103" s="296"/>
      <c r="I103" s="196"/>
    </row>
    <row r="104" spans="1:12" s="260" customFormat="1" ht="12.75" hidden="1" customHeight="1" x14ac:dyDescent="0.2">
      <c r="A104" s="199"/>
      <c r="B104" s="200"/>
      <c r="C104" s="220"/>
      <c r="D104" s="278" t="s">
        <v>289</v>
      </c>
      <c r="E104" s="201"/>
      <c r="F104" s="342"/>
      <c r="G104" s="201"/>
      <c r="H104" s="296"/>
      <c r="I104" s="196"/>
    </row>
    <row r="105" spans="1:12" s="260" customFormat="1" ht="12.75" hidden="1" customHeight="1" x14ac:dyDescent="0.2">
      <c r="A105" s="199"/>
      <c r="B105" s="200"/>
      <c r="C105" s="220"/>
      <c r="D105" s="233" t="s">
        <v>258</v>
      </c>
      <c r="E105" s="201"/>
      <c r="F105" s="342"/>
      <c r="G105" s="201"/>
      <c r="H105" s="296"/>
      <c r="I105" s="196"/>
    </row>
    <row r="106" spans="1:12" s="260" customFormat="1" ht="12.75" hidden="1" customHeight="1" x14ac:dyDescent="0.2">
      <c r="A106" s="199"/>
      <c r="B106" s="200"/>
      <c r="C106" s="220"/>
      <c r="D106" s="278" t="s">
        <v>345</v>
      </c>
      <c r="E106" s="201"/>
      <c r="F106" s="342"/>
      <c r="G106" s="201"/>
      <c r="H106" s="259"/>
      <c r="I106" s="332"/>
    </row>
    <row r="107" spans="1:12" s="260" customFormat="1" ht="12.75" customHeight="1" x14ac:dyDescent="0.2">
      <c r="A107" s="195">
        <f>A99+1</f>
        <v>10</v>
      </c>
      <c r="B107" s="196" t="s">
        <v>168</v>
      </c>
      <c r="C107" s="261" t="s">
        <v>387</v>
      </c>
      <c r="D107" s="506" t="str">
        <f>$D$5</f>
        <v>FTE June 2024</v>
      </c>
      <c r="E107" s="198">
        <f>'3345'!I$145</f>
        <v>-1153.78</v>
      </c>
      <c r="F107" s="343"/>
      <c r="G107" s="198">
        <f>SUBTOTAL(109,E107:F113)</f>
        <v>-1153.78</v>
      </c>
      <c r="H107" s="259"/>
      <c r="I107" s="332"/>
    </row>
    <row r="108" spans="1:12" s="260" customFormat="1" ht="12.75" hidden="1" customHeight="1" x14ac:dyDescent="0.2">
      <c r="A108" s="195"/>
      <c r="B108" s="196"/>
      <c r="C108" s="261"/>
      <c r="D108" s="232" t="s">
        <v>279</v>
      </c>
      <c r="E108" s="198"/>
      <c r="F108" s="343"/>
      <c r="G108" s="198"/>
      <c r="H108" s="259"/>
      <c r="I108" s="332"/>
    </row>
    <row r="109" spans="1:12" s="260" customFormat="1" ht="12.75" hidden="1" customHeight="1" x14ac:dyDescent="0.2">
      <c r="A109" s="195"/>
      <c r="B109" s="196"/>
      <c r="C109" s="261"/>
      <c r="D109" s="232" t="s">
        <v>498</v>
      </c>
      <c r="E109" s="198"/>
      <c r="F109" s="343"/>
      <c r="G109" s="198"/>
      <c r="H109" s="296"/>
      <c r="I109" s="196"/>
    </row>
    <row r="110" spans="1:12" s="260" customFormat="1" ht="12.75" hidden="1" customHeight="1" x14ac:dyDescent="0.2">
      <c r="A110" s="195"/>
      <c r="B110" s="196"/>
      <c r="C110" s="219"/>
      <c r="D110" s="232" t="s">
        <v>280</v>
      </c>
      <c r="E110" s="198"/>
      <c r="F110" s="343"/>
      <c r="G110" s="198"/>
      <c r="H110" s="296"/>
      <c r="I110" s="196"/>
    </row>
    <row r="111" spans="1:12" s="260" customFormat="1" ht="12.75" hidden="1" customHeight="1" x14ac:dyDescent="0.2">
      <c r="A111" s="195"/>
      <c r="B111" s="196"/>
      <c r="C111" s="219"/>
      <c r="D111" s="232" t="s">
        <v>289</v>
      </c>
      <c r="E111" s="198"/>
      <c r="F111" s="343"/>
      <c r="G111" s="198"/>
      <c r="H111" s="259"/>
      <c r="I111" s="231"/>
    </row>
    <row r="112" spans="1:12" s="260" customFormat="1" ht="12.75" hidden="1" customHeight="1" x14ac:dyDescent="0.2">
      <c r="A112" s="195"/>
      <c r="B112" s="196"/>
      <c r="C112" s="219"/>
      <c r="D112" s="232" t="s">
        <v>258</v>
      </c>
      <c r="E112" s="198"/>
      <c r="F112" s="343"/>
      <c r="G112" s="198"/>
      <c r="H112" s="296"/>
      <c r="I112" s="196"/>
    </row>
    <row r="113" spans="1:9" s="260" customFormat="1" ht="12.75" hidden="1" customHeight="1" x14ac:dyDescent="0.2">
      <c r="A113" s="195"/>
      <c r="B113" s="196"/>
      <c r="C113" s="219"/>
      <c r="D113" s="276" t="s">
        <v>345</v>
      </c>
      <c r="E113" s="198"/>
      <c r="F113" s="343"/>
      <c r="G113" s="198"/>
      <c r="H113" s="296"/>
      <c r="I113" s="196"/>
    </row>
    <row r="114" spans="1:9" s="260" customFormat="1" ht="12.75" customHeight="1" x14ac:dyDescent="0.2">
      <c r="A114" s="199">
        <f>A107+1</f>
        <v>11</v>
      </c>
      <c r="B114" s="200" t="s">
        <v>169</v>
      </c>
      <c r="C114" s="220" t="s">
        <v>201</v>
      </c>
      <c r="D114" s="277" t="str">
        <f>$D$5</f>
        <v>FTE June 2024</v>
      </c>
      <c r="E114" s="201">
        <f>'3381'!I$145</f>
        <v>7019.81</v>
      </c>
      <c r="F114" s="342"/>
      <c r="G114" s="201">
        <f>SUBTOTAL(109,E114:F122)</f>
        <v>7019.81</v>
      </c>
      <c r="H114" s="296"/>
      <c r="I114" s="196"/>
    </row>
    <row r="115" spans="1:9" s="260" customFormat="1" ht="12.75" hidden="1" customHeight="1" x14ac:dyDescent="0.2">
      <c r="A115" s="199"/>
      <c r="B115" s="200"/>
      <c r="C115" s="220"/>
      <c r="D115" s="233" t="s">
        <v>279</v>
      </c>
      <c r="E115" s="201"/>
      <c r="F115" s="342"/>
      <c r="G115" s="201"/>
      <c r="H115" s="259"/>
      <c r="I115" s="332"/>
    </row>
    <row r="116" spans="1:9" ht="12.75" hidden="1" customHeight="1" x14ac:dyDescent="0.2">
      <c r="A116" s="199"/>
      <c r="B116" s="200"/>
      <c r="C116" s="220"/>
      <c r="D116" s="387" t="s">
        <v>498</v>
      </c>
      <c r="E116" s="201"/>
      <c r="F116" s="342"/>
      <c r="G116" s="201"/>
      <c r="H116" s="297"/>
      <c r="I116" s="196"/>
    </row>
    <row r="117" spans="1:9" s="260" customFormat="1" ht="12.75" hidden="1" customHeight="1" x14ac:dyDescent="0.2">
      <c r="A117" s="199"/>
      <c r="B117" s="200"/>
      <c r="C117" s="220"/>
      <c r="D117" s="233" t="s">
        <v>281</v>
      </c>
      <c r="E117" s="201"/>
      <c r="F117" s="342"/>
      <c r="G117" s="201"/>
      <c r="H117" s="296"/>
      <c r="I117" s="196"/>
    </row>
    <row r="118" spans="1:9" s="260" customFormat="1" ht="12.75" hidden="1" customHeight="1" x14ac:dyDescent="0.2">
      <c r="A118" s="199"/>
      <c r="B118" s="200"/>
      <c r="C118" s="220"/>
      <c r="D118" s="233" t="s">
        <v>280</v>
      </c>
      <c r="E118" s="201"/>
      <c r="F118" s="342"/>
      <c r="G118" s="201"/>
      <c r="H118" s="296"/>
      <c r="I118" s="196"/>
    </row>
    <row r="119" spans="1:9" s="260" customFormat="1" ht="12.75" hidden="1" customHeight="1" x14ac:dyDescent="0.2">
      <c r="A119" s="199"/>
      <c r="B119" s="200"/>
      <c r="C119" s="220"/>
      <c r="D119" s="233" t="s">
        <v>289</v>
      </c>
      <c r="E119" s="201"/>
      <c r="F119" s="342"/>
      <c r="G119" s="201"/>
      <c r="H119" s="296"/>
      <c r="I119" s="196"/>
    </row>
    <row r="120" spans="1:9" s="260" customFormat="1" ht="12.75" hidden="1" customHeight="1" x14ac:dyDescent="0.2">
      <c r="A120" s="199"/>
      <c r="B120" s="200"/>
      <c r="C120" s="220"/>
      <c r="D120" s="233" t="s">
        <v>258</v>
      </c>
      <c r="E120" s="201"/>
      <c r="F120" s="342"/>
      <c r="G120" s="201"/>
      <c r="H120" s="296"/>
      <c r="I120" s="196"/>
    </row>
    <row r="121" spans="1:9" s="260" customFormat="1" ht="12.75" hidden="1" customHeight="1" x14ac:dyDescent="0.2">
      <c r="A121" s="199"/>
      <c r="B121" s="200"/>
      <c r="C121" s="220"/>
      <c r="D121" s="233" t="s">
        <v>357</v>
      </c>
      <c r="E121" s="201"/>
      <c r="F121" s="342"/>
      <c r="G121" s="201"/>
      <c r="H121" s="296"/>
      <c r="I121" s="196"/>
    </row>
    <row r="122" spans="1:9" s="260" customFormat="1" ht="12.75" hidden="1" customHeight="1" x14ac:dyDescent="0.2">
      <c r="A122" s="199"/>
      <c r="B122" s="200"/>
      <c r="C122" s="220"/>
      <c r="D122" s="278" t="s">
        <v>345</v>
      </c>
      <c r="E122" s="201"/>
      <c r="F122" s="342"/>
      <c r="G122" s="201"/>
      <c r="H122" s="259"/>
      <c r="I122" s="332"/>
    </row>
    <row r="123" spans="1:9" s="260" customFormat="1" ht="12.75" customHeight="1" x14ac:dyDescent="0.2">
      <c r="A123" s="195">
        <f>A114+1</f>
        <v>12</v>
      </c>
      <c r="B123" s="196" t="s">
        <v>170</v>
      </c>
      <c r="C123" s="219" t="s">
        <v>203</v>
      </c>
      <c r="D123" s="506" t="str">
        <f>$D$5</f>
        <v>FTE June 2024</v>
      </c>
      <c r="E123" s="198">
        <f>'3382'!I$145</f>
        <v>-2232.2199999999998</v>
      </c>
      <c r="F123" s="343"/>
      <c r="G123" s="198">
        <f>SUBTOTAL(109,E123:F131)</f>
        <v>-2232.2199999999998</v>
      </c>
      <c r="H123" s="259"/>
      <c r="I123" s="332"/>
    </row>
    <row r="124" spans="1:9" s="260" customFormat="1" ht="12.75" hidden="1" customHeight="1" x14ac:dyDescent="0.2">
      <c r="A124" s="195"/>
      <c r="B124" s="196"/>
      <c r="C124" s="219"/>
      <c r="D124" s="232" t="s">
        <v>279</v>
      </c>
      <c r="E124" s="198"/>
      <c r="F124" s="343"/>
      <c r="G124" s="198"/>
      <c r="H124" s="296"/>
      <c r="I124" s="196"/>
    </row>
    <row r="125" spans="1:9" s="260" customFormat="1" ht="12.75" hidden="1" customHeight="1" x14ac:dyDescent="0.2">
      <c r="A125" s="195"/>
      <c r="B125" s="196"/>
      <c r="C125" s="219"/>
      <c r="D125" s="350" t="s">
        <v>498</v>
      </c>
      <c r="E125" s="198"/>
      <c r="F125" s="343"/>
      <c r="G125" s="198"/>
      <c r="H125" s="296"/>
      <c r="I125" s="196"/>
    </row>
    <row r="126" spans="1:9" s="260" customFormat="1" ht="12.75" hidden="1" customHeight="1" x14ac:dyDescent="0.2">
      <c r="A126" s="195"/>
      <c r="B126" s="196"/>
      <c r="C126" s="219"/>
      <c r="D126" s="232" t="s">
        <v>281</v>
      </c>
      <c r="E126" s="198"/>
      <c r="F126" s="343"/>
      <c r="G126" s="198"/>
      <c r="H126" s="259"/>
      <c r="I126" s="231"/>
    </row>
    <row r="127" spans="1:9" s="260" customFormat="1" ht="12.75" hidden="1" customHeight="1" x14ac:dyDescent="0.2">
      <c r="A127" s="195"/>
      <c r="B127" s="196"/>
      <c r="C127" s="219"/>
      <c r="D127" s="232" t="s">
        <v>280</v>
      </c>
      <c r="E127" s="198"/>
      <c r="F127" s="343"/>
      <c r="G127" s="198"/>
      <c r="H127" s="296"/>
      <c r="I127" s="196"/>
    </row>
    <row r="128" spans="1:9" s="260" customFormat="1" ht="12.75" hidden="1" customHeight="1" x14ac:dyDescent="0.2">
      <c r="A128" s="195"/>
      <c r="B128" s="196"/>
      <c r="C128" s="219"/>
      <c r="D128" s="232" t="s">
        <v>289</v>
      </c>
      <c r="E128" s="198"/>
      <c r="F128" s="343"/>
      <c r="G128" s="198"/>
      <c r="H128" s="296"/>
      <c r="I128" s="196"/>
    </row>
    <row r="129" spans="1:16" s="260" customFormat="1" ht="12.75" hidden="1" customHeight="1" x14ac:dyDescent="0.2">
      <c r="A129" s="195"/>
      <c r="B129" s="196"/>
      <c r="C129" s="219"/>
      <c r="D129" s="232" t="s">
        <v>258</v>
      </c>
      <c r="E129" s="198"/>
      <c r="F129" s="343"/>
      <c r="G129" s="198"/>
      <c r="H129" s="296"/>
      <c r="I129" s="196"/>
    </row>
    <row r="130" spans="1:16" s="260" customFormat="1" ht="12.75" hidden="1" customHeight="1" x14ac:dyDescent="0.2">
      <c r="A130" s="195"/>
      <c r="B130" s="196"/>
      <c r="C130" s="219"/>
      <c r="D130" s="232" t="s">
        <v>344</v>
      </c>
      <c r="E130" s="198"/>
      <c r="F130" s="343"/>
      <c r="G130" s="198"/>
      <c r="H130" s="259"/>
      <c r="I130" s="332"/>
    </row>
    <row r="131" spans="1:16" s="260" customFormat="1" ht="12.75" hidden="1" customHeight="1" x14ac:dyDescent="0.2">
      <c r="A131" s="195"/>
      <c r="B131" s="196"/>
      <c r="C131" s="231"/>
      <c r="D131" s="276" t="s">
        <v>345</v>
      </c>
      <c r="E131" s="198"/>
      <c r="F131" s="343"/>
      <c r="G131" s="198"/>
      <c r="H131" s="259"/>
      <c r="I131" s="334"/>
    </row>
    <row r="132" spans="1:16" ht="12.75" customHeight="1" x14ac:dyDescent="0.2">
      <c r="A132" s="199">
        <f>A123+1</f>
        <v>13</v>
      </c>
      <c r="B132" s="200" t="s">
        <v>171</v>
      </c>
      <c r="C132" s="220" t="s">
        <v>205</v>
      </c>
      <c r="D132" s="277" t="str">
        <f>$D$5</f>
        <v>FTE June 2024</v>
      </c>
      <c r="E132" s="201">
        <f>'3391'!I$145</f>
        <v>-437.49</v>
      </c>
      <c r="F132" s="342"/>
      <c r="G132" s="201">
        <f>SUBTOTAL(109,E132:F140)</f>
        <v>-437.49</v>
      </c>
      <c r="H132" s="297"/>
      <c r="I132" s="196"/>
    </row>
    <row r="133" spans="1:16" s="260" customFormat="1" ht="12.75" hidden="1" customHeight="1" x14ac:dyDescent="0.2">
      <c r="A133" s="199"/>
      <c r="B133" s="200"/>
      <c r="C133" s="220"/>
      <c r="D133" s="233" t="s">
        <v>279</v>
      </c>
      <c r="E133" s="201"/>
      <c r="F133" s="342"/>
      <c r="G133" s="201"/>
      <c r="H133" s="296"/>
      <c r="I133" s="196"/>
      <c r="P133" s="333"/>
    </row>
    <row r="134" spans="1:16" s="260" customFormat="1" ht="12.75" hidden="1" customHeight="1" x14ac:dyDescent="0.2">
      <c r="A134" s="199"/>
      <c r="B134" s="200"/>
      <c r="C134" s="220"/>
      <c r="D134" s="233" t="s">
        <v>498</v>
      </c>
      <c r="E134" s="201"/>
      <c r="F134" s="342"/>
      <c r="G134" s="201"/>
      <c r="H134" s="296"/>
      <c r="I134" s="196"/>
    </row>
    <row r="135" spans="1:16" s="260" customFormat="1" ht="12.75" hidden="1" customHeight="1" x14ac:dyDescent="0.2">
      <c r="A135" s="199"/>
      <c r="B135" s="200"/>
      <c r="C135" s="220"/>
      <c r="D135" s="387" t="s">
        <v>361</v>
      </c>
      <c r="E135" s="201"/>
      <c r="F135" s="342"/>
      <c r="G135" s="201"/>
      <c r="H135" s="259"/>
      <c r="I135" s="231"/>
    </row>
    <row r="136" spans="1:16" s="260" customFormat="1" ht="12.75" hidden="1" customHeight="1" x14ac:dyDescent="0.2">
      <c r="A136" s="199"/>
      <c r="B136" s="200"/>
      <c r="C136" s="220"/>
      <c r="D136" s="233" t="s">
        <v>281</v>
      </c>
      <c r="E136" s="201"/>
      <c r="F136" s="342"/>
      <c r="G136" s="201"/>
      <c r="H136" s="296"/>
      <c r="I136" s="196"/>
    </row>
    <row r="137" spans="1:16" s="260" customFormat="1" ht="12.75" hidden="1" customHeight="1" x14ac:dyDescent="0.2">
      <c r="A137" s="199"/>
      <c r="B137" s="200"/>
      <c r="C137" s="220"/>
      <c r="D137" s="233" t="s">
        <v>280</v>
      </c>
      <c r="E137" s="201"/>
      <c r="F137" s="342"/>
      <c r="G137" s="201"/>
      <c r="H137" s="296"/>
      <c r="I137" s="196"/>
    </row>
    <row r="138" spans="1:16" s="260" customFormat="1" ht="12.75" hidden="1" customHeight="1" x14ac:dyDescent="0.2">
      <c r="A138" s="199"/>
      <c r="B138" s="200"/>
      <c r="C138" s="220"/>
      <c r="D138" s="233" t="s">
        <v>289</v>
      </c>
      <c r="E138" s="201"/>
      <c r="F138" s="342"/>
      <c r="G138" s="201"/>
      <c r="H138" s="296"/>
      <c r="I138" s="196"/>
    </row>
    <row r="139" spans="1:16" s="260" customFormat="1" ht="12.75" hidden="1" customHeight="1" x14ac:dyDescent="0.2">
      <c r="A139" s="199"/>
      <c r="B139" s="200"/>
      <c r="C139" s="220"/>
      <c r="D139" s="233" t="s">
        <v>258</v>
      </c>
      <c r="E139" s="201"/>
      <c r="F139" s="342"/>
      <c r="G139" s="201"/>
      <c r="H139" s="259"/>
      <c r="I139" s="332"/>
    </row>
    <row r="140" spans="1:16" s="260" customFormat="1" ht="12.75" hidden="1" customHeight="1" x14ac:dyDescent="0.2">
      <c r="A140" s="199"/>
      <c r="B140" s="200"/>
      <c r="C140" s="220"/>
      <c r="D140" s="278" t="s">
        <v>542</v>
      </c>
      <c r="E140" s="201"/>
      <c r="F140" s="342"/>
      <c r="G140" s="201"/>
      <c r="H140" s="296"/>
      <c r="I140" s="332"/>
    </row>
    <row r="141" spans="1:16" ht="12.75" customHeight="1" x14ac:dyDescent="0.2">
      <c r="A141" s="195">
        <f>A132+1</f>
        <v>14</v>
      </c>
      <c r="B141" s="196" t="s">
        <v>172</v>
      </c>
      <c r="C141" s="219" t="s">
        <v>206</v>
      </c>
      <c r="D141" s="506" t="str">
        <f>$D$5</f>
        <v>FTE June 2024</v>
      </c>
      <c r="E141" s="198">
        <f>'3394'!I$145</f>
        <v>-1733.5</v>
      </c>
      <c r="F141" s="343"/>
      <c r="G141" s="198">
        <f>SUBTOTAL(109,E141:F150)</f>
        <v>-1733.5</v>
      </c>
      <c r="H141" s="297"/>
      <c r="I141" s="196"/>
    </row>
    <row r="142" spans="1:16" s="260" customFormat="1" ht="12.75" hidden="1" customHeight="1" x14ac:dyDescent="0.2">
      <c r="A142" s="195"/>
      <c r="B142" s="196"/>
      <c r="C142" s="219"/>
      <c r="D142" s="232" t="s">
        <v>279</v>
      </c>
      <c r="E142" s="198"/>
      <c r="F142" s="343"/>
      <c r="G142" s="198"/>
      <c r="H142" s="296"/>
      <c r="I142" s="284"/>
    </row>
    <row r="143" spans="1:16" s="260" customFormat="1" ht="12.75" hidden="1" customHeight="1" x14ac:dyDescent="0.2">
      <c r="A143" s="195"/>
      <c r="B143" s="196"/>
      <c r="C143" s="219"/>
      <c r="D143" s="350" t="s">
        <v>498</v>
      </c>
      <c r="E143" s="198"/>
      <c r="F143" s="343"/>
      <c r="G143" s="198"/>
      <c r="H143" s="296"/>
      <c r="I143" s="284"/>
    </row>
    <row r="144" spans="1:16" s="260" customFormat="1" ht="12.75" hidden="1" customHeight="1" x14ac:dyDescent="0.2">
      <c r="A144" s="195"/>
      <c r="B144" s="196"/>
      <c r="C144" s="219"/>
      <c r="D144" s="232" t="s">
        <v>281</v>
      </c>
      <c r="E144" s="198"/>
      <c r="F144" s="343"/>
      <c r="G144" s="198"/>
      <c r="H144" s="259"/>
      <c r="I144" s="231"/>
    </row>
    <row r="145" spans="1:9" s="260" customFormat="1" ht="12.75" hidden="1" customHeight="1" x14ac:dyDescent="0.2">
      <c r="A145" s="195"/>
      <c r="B145" s="196"/>
      <c r="C145" s="219"/>
      <c r="D145" s="232" t="s">
        <v>280</v>
      </c>
      <c r="E145" s="198"/>
      <c r="F145" s="343"/>
      <c r="G145" s="198"/>
      <c r="H145" s="259"/>
      <c r="I145" s="231"/>
    </row>
    <row r="146" spans="1:9" s="260" customFormat="1" ht="12.75" hidden="1" customHeight="1" x14ac:dyDescent="0.2">
      <c r="A146" s="195"/>
      <c r="B146" s="196"/>
      <c r="C146" s="219"/>
      <c r="D146" s="232" t="s">
        <v>289</v>
      </c>
      <c r="E146" s="198"/>
      <c r="F146" s="343"/>
      <c r="G146" s="198"/>
      <c r="H146" s="296"/>
      <c r="I146" s="284"/>
    </row>
    <row r="147" spans="1:9" s="260" customFormat="1" ht="12.75" hidden="1" customHeight="1" x14ac:dyDescent="0.2">
      <c r="A147" s="195"/>
      <c r="B147" s="196"/>
      <c r="C147" s="219"/>
      <c r="D147" s="232" t="s">
        <v>258</v>
      </c>
      <c r="E147" s="198"/>
      <c r="F147" s="343"/>
      <c r="G147" s="198"/>
      <c r="H147" s="296"/>
      <c r="I147" s="284"/>
    </row>
    <row r="148" spans="1:9" s="260" customFormat="1" ht="12.75" hidden="1" customHeight="1" x14ac:dyDescent="0.2">
      <c r="A148" s="195"/>
      <c r="B148" s="196"/>
      <c r="C148" s="219"/>
      <c r="D148" s="232" t="s">
        <v>357</v>
      </c>
      <c r="E148" s="198"/>
      <c r="F148" s="343"/>
      <c r="G148" s="198"/>
      <c r="H148" s="296"/>
      <c r="I148" s="284"/>
    </row>
    <row r="149" spans="1:9" s="260" customFormat="1" ht="12.75" hidden="1" customHeight="1" x14ac:dyDescent="0.2">
      <c r="A149" s="195"/>
      <c r="B149" s="196"/>
      <c r="C149" s="219"/>
      <c r="D149" s="276" t="s">
        <v>390</v>
      </c>
      <c r="E149" s="198"/>
      <c r="F149" s="343"/>
      <c r="G149" s="198"/>
      <c r="H149" s="259"/>
      <c r="I149" s="332"/>
    </row>
    <row r="150" spans="1:9" s="260" customFormat="1" ht="12.75" hidden="1" customHeight="1" x14ac:dyDescent="0.2">
      <c r="A150" s="195"/>
      <c r="B150" s="196"/>
      <c r="C150" s="219"/>
      <c r="D150" s="276" t="s">
        <v>391</v>
      </c>
      <c r="E150" s="198"/>
      <c r="F150" s="343"/>
      <c r="G150" s="198"/>
      <c r="H150" s="259"/>
      <c r="I150" s="332"/>
    </row>
    <row r="151" spans="1:9" s="260" customFormat="1" ht="12.75" customHeight="1" x14ac:dyDescent="0.2">
      <c r="A151" s="199">
        <f>A141+1</f>
        <v>15</v>
      </c>
      <c r="B151" s="200" t="s">
        <v>173</v>
      </c>
      <c r="C151" s="262" t="s">
        <v>287</v>
      </c>
      <c r="D151" s="277" t="str">
        <f>$D$5</f>
        <v>FTE June 2024</v>
      </c>
      <c r="E151" s="201">
        <f>'3395'!I$145</f>
        <v>-5414.23</v>
      </c>
      <c r="F151" s="342"/>
      <c r="G151" s="201">
        <f>SUBTOTAL(109,E151:F159)</f>
        <v>-5414.23</v>
      </c>
      <c r="H151" s="296"/>
      <c r="I151" s="284"/>
    </row>
    <row r="152" spans="1:9" s="260" customFormat="1" ht="12.75" hidden="1" customHeight="1" x14ac:dyDescent="0.2">
      <c r="A152" s="199"/>
      <c r="B152" s="200"/>
      <c r="C152" s="220"/>
      <c r="D152" s="233" t="s">
        <v>279</v>
      </c>
      <c r="E152" s="201"/>
      <c r="F152" s="342"/>
      <c r="G152" s="201"/>
      <c r="H152" s="296"/>
      <c r="I152" s="284"/>
    </row>
    <row r="153" spans="1:9" s="260" customFormat="1" ht="12.75" hidden="1" customHeight="1" x14ac:dyDescent="0.2">
      <c r="A153" s="199"/>
      <c r="B153" s="200"/>
      <c r="C153" s="220"/>
      <c r="D153" s="387" t="s">
        <v>498</v>
      </c>
      <c r="E153" s="201"/>
      <c r="F153" s="342"/>
      <c r="G153" s="201"/>
      <c r="H153" s="259"/>
      <c r="I153" s="231"/>
    </row>
    <row r="154" spans="1:9" s="260" customFormat="1" ht="12.75" hidden="1" customHeight="1" x14ac:dyDescent="0.2">
      <c r="A154" s="199"/>
      <c r="B154" s="200"/>
      <c r="C154" s="220"/>
      <c r="D154" s="233" t="s">
        <v>281</v>
      </c>
      <c r="E154" s="201"/>
      <c r="F154" s="342"/>
      <c r="G154" s="201"/>
      <c r="H154" s="296"/>
      <c r="I154" s="284"/>
    </row>
    <row r="155" spans="1:9" s="260" customFormat="1" ht="12.75" hidden="1" customHeight="1" x14ac:dyDescent="0.2">
      <c r="A155" s="199"/>
      <c r="B155" s="200"/>
      <c r="C155" s="220"/>
      <c r="D155" s="233" t="s">
        <v>280</v>
      </c>
      <c r="E155" s="201"/>
      <c r="F155" s="342"/>
      <c r="G155" s="201"/>
      <c r="H155" s="296"/>
      <c r="I155" s="284"/>
    </row>
    <row r="156" spans="1:9" s="260" customFormat="1" ht="12.75" hidden="1" customHeight="1" x14ac:dyDescent="0.2">
      <c r="A156" s="199"/>
      <c r="B156" s="200"/>
      <c r="C156" s="220"/>
      <c r="D156" s="233" t="s">
        <v>289</v>
      </c>
      <c r="E156" s="201"/>
      <c r="F156" s="342"/>
      <c r="G156" s="201"/>
      <c r="H156" s="296"/>
      <c r="I156" s="284"/>
    </row>
    <row r="157" spans="1:9" s="260" customFormat="1" ht="12.75" hidden="1" customHeight="1" x14ac:dyDescent="0.2">
      <c r="A157" s="199"/>
      <c r="B157" s="200"/>
      <c r="C157" s="220"/>
      <c r="D157" s="233" t="s">
        <v>258</v>
      </c>
      <c r="E157" s="201"/>
      <c r="F157" s="342"/>
      <c r="G157" s="201"/>
      <c r="H157" s="259"/>
      <c r="I157" s="332"/>
    </row>
    <row r="158" spans="1:9" s="260" customFormat="1" ht="12.75" hidden="1" customHeight="1" x14ac:dyDescent="0.2">
      <c r="A158" s="199"/>
      <c r="B158" s="200"/>
      <c r="C158" s="220"/>
      <c r="D158" s="315" t="s">
        <v>460</v>
      </c>
      <c r="E158" s="201"/>
      <c r="F158" s="342"/>
      <c r="G158" s="201"/>
      <c r="H158" s="296"/>
      <c r="I158" s="334"/>
    </row>
    <row r="159" spans="1:9" s="260" customFormat="1" ht="12.75" hidden="1" customHeight="1" x14ac:dyDescent="0.2">
      <c r="A159" s="346"/>
      <c r="B159" s="200"/>
      <c r="C159" s="220"/>
      <c r="D159" s="315" t="s">
        <v>537</v>
      </c>
      <c r="E159" s="546"/>
      <c r="F159" s="342"/>
      <c r="G159" s="201"/>
      <c r="H159" s="296"/>
      <c r="I159" s="334"/>
    </row>
    <row r="160" spans="1:9" s="260" customFormat="1" ht="12.75" customHeight="1" x14ac:dyDescent="0.2">
      <c r="A160" s="195">
        <f>A151+1</f>
        <v>16</v>
      </c>
      <c r="B160" s="196" t="s">
        <v>174</v>
      </c>
      <c r="C160" s="261" t="s">
        <v>228</v>
      </c>
      <c r="D160" s="506" t="str">
        <f>$D$5</f>
        <v>FTE June 2024</v>
      </c>
      <c r="E160" s="198">
        <f>'3396'!I$145</f>
        <v>-4275.5</v>
      </c>
      <c r="F160" s="343"/>
      <c r="G160" s="198">
        <f>SUBTOTAL(109,E160:F167)</f>
        <v>-4275.5</v>
      </c>
      <c r="H160" s="296"/>
      <c r="I160" s="284"/>
    </row>
    <row r="161" spans="1:11" s="260" customFormat="1" ht="12.75" hidden="1" customHeight="1" x14ac:dyDescent="0.2">
      <c r="A161" s="195"/>
      <c r="B161" s="196"/>
      <c r="C161" s="261"/>
      <c r="D161" s="232" t="s">
        <v>279</v>
      </c>
      <c r="E161" s="198"/>
      <c r="F161" s="343"/>
      <c r="G161" s="198"/>
      <c r="H161" s="296"/>
      <c r="I161" s="284"/>
    </row>
    <row r="162" spans="1:11" s="260" customFormat="1" ht="12.75" hidden="1" customHeight="1" x14ac:dyDescent="0.2">
      <c r="A162" s="195"/>
      <c r="B162" s="196"/>
      <c r="C162" s="261"/>
      <c r="D162" s="232" t="s">
        <v>498</v>
      </c>
      <c r="E162" s="198"/>
      <c r="F162" s="343"/>
      <c r="G162" s="198"/>
      <c r="H162" s="296"/>
      <c r="I162" s="284"/>
    </row>
    <row r="163" spans="1:11" s="260" customFormat="1" ht="12.75" hidden="1" customHeight="1" x14ac:dyDescent="0.2">
      <c r="A163" s="195"/>
      <c r="B163" s="196"/>
      <c r="C163" s="261"/>
      <c r="D163" s="232" t="s">
        <v>280</v>
      </c>
      <c r="E163" s="198"/>
      <c r="F163" s="343"/>
      <c r="G163" s="198"/>
      <c r="H163" s="259"/>
      <c r="I163" s="231"/>
    </row>
    <row r="164" spans="1:11" s="260" customFormat="1" ht="12.75" hidden="1" customHeight="1" x14ac:dyDescent="0.2">
      <c r="A164" s="195"/>
      <c r="B164" s="196"/>
      <c r="C164" s="261"/>
      <c r="D164" s="232" t="s">
        <v>289</v>
      </c>
      <c r="E164" s="198"/>
      <c r="F164" s="343"/>
      <c r="G164" s="198"/>
      <c r="H164" s="296"/>
      <c r="I164" s="284"/>
    </row>
    <row r="165" spans="1:11" s="260" customFormat="1" ht="12.75" hidden="1" customHeight="1" x14ac:dyDescent="0.2">
      <c r="A165" s="195"/>
      <c r="B165" s="196"/>
      <c r="C165" s="219"/>
      <c r="D165" s="232" t="s">
        <v>258</v>
      </c>
      <c r="E165" s="198"/>
      <c r="F165" s="343"/>
      <c r="G165" s="198"/>
      <c r="H165" s="296"/>
      <c r="I165" s="284"/>
    </row>
    <row r="166" spans="1:11" s="260" customFormat="1" ht="12.75" hidden="1" customHeight="1" x14ac:dyDescent="0.2">
      <c r="A166" s="195"/>
      <c r="B166" s="196"/>
      <c r="C166" s="219"/>
      <c r="D166" s="232" t="s">
        <v>357</v>
      </c>
      <c r="E166" s="198"/>
      <c r="F166" s="343"/>
      <c r="G166" s="198"/>
      <c r="H166" s="296"/>
      <c r="I166" s="284"/>
    </row>
    <row r="167" spans="1:11" s="260" customFormat="1" ht="12.75" hidden="1" customHeight="1" x14ac:dyDescent="0.2">
      <c r="A167" s="195"/>
      <c r="B167" s="196"/>
      <c r="C167" s="219"/>
      <c r="D167" s="276" t="s">
        <v>345</v>
      </c>
      <c r="E167" s="198"/>
      <c r="F167" s="343"/>
      <c r="G167" s="198"/>
      <c r="H167" s="259"/>
      <c r="I167" s="332"/>
    </row>
    <row r="168" spans="1:11" s="260" customFormat="1" ht="12.75" customHeight="1" x14ac:dyDescent="0.2">
      <c r="A168" s="199">
        <f>A160+1</f>
        <v>17</v>
      </c>
      <c r="B168" s="200" t="s">
        <v>175</v>
      </c>
      <c r="C168" s="220" t="s">
        <v>196</v>
      </c>
      <c r="D168" s="277" t="str">
        <f>$D$5</f>
        <v>FTE June 2024</v>
      </c>
      <c r="E168" s="201">
        <f>'3398'!I$145</f>
        <v>341.55</v>
      </c>
      <c r="F168" s="342"/>
      <c r="G168" s="201">
        <f>SUBTOTAL(109,E168:F174)</f>
        <v>341.55</v>
      </c>
      <c r="H168" s="296"/>
      <c r="I168" s="334"/>
    </row>
    <row r="169" spans="1:11" ht="12.75" hidden="1" customHeight="1" x14ac:dyDescent="0.2">
      <c r="A169" s="199"/>
      <c r="B169" s="200"/>
      <c r="C169" s="220"/>
      <c r="D169" s="233" t="s">
        <v>279</v>
      </c>
      <c r="E169" s="201"/>
      <c r="F169" s="342"/>
      <c r="G169" s="201"/>
      <c r="H169" s="297"/>
      <c r="I169" s="347"/>
    </row>
    <row r="170" spans="1:11" s="260" customFormat="1" ht="12.75" hidden="1" customHeight="1" x14ac:dyDescent="0.2">
      <c r="A170" s="199"/>
      <c r="B170" s="200"/>
      <c r="C170" s="220"/>
      <c r="D170" s="233" t="s">
        <v>498</v>
      </c>
      <c r="E170" s="201"/>
      <c r="F170" s="342"/>
      <c r="G170" s="201"/>
      <c r="H170" s="296"/>
      <c r="I170" s="284"/>
      <c r="K170" s="333"/>
    </row>
    <row r="171" spans="1:11" s="260" customFormat="1" ht="12.75" hidden="1" customHeight="1" x14ac:dyDescent="0.2">
      <c r="A171" s="199"/>
      <c r="B171" s="200"/>
      <c r="C171" s="220"/>
      <c r="D171" s="233" t="s">
        <v>280</v>
      </c>
      <c r="E171" s="201"/>
      <c r="F171" s="342"/>
      <c r="G171" s="201"/>
      <c r="H171" s="296"/>
      <c r="I171" s="284"/>
    </row>
    <row r="172" spans="1:11" s="260" customFormat="1" ht="12.75" hidden="1" customHeight="1" x14ac:dyDescent="0.2">
      <c r="A172" s="199"/>
      <c r="B172" s="200"/>
      <c r="C172" s="229"/>
      <c r="D172" s="233" t="s">
        <v>289</v>
      </c>
      <c r="E172" s="201"/>
      <c r="F172" s="342"/>
      <c r="G172" s="201"/>
      <c r="H172" s="296"/>
    </row>
    <row r="173" spans="1:11" s="260" customFormat="1" ht="12.75" hidden="1" customHeight="1" x14ac:dyDescent="0.2">
      <c r="A173" s="199"/>
      <c r="B173" s="200"/>
      <c r="C173" s="220"/>
      <c r="D173" s="233" t="s">
        <v>258</v>
      </c>
      <c r="E173" s="201"/>
      <c r="F173" s="342"/>
      <c r="G173" s="201"/>
      <c r="H173" s="296"/>
    </row>
    <row r="174" spans="1:11" s="260" customFormat="1" ht="12.75" hidden="1" customHeight="1" x14ac:dyDescent="0.2">
      <c r="A174" s="199"/>
      <c r="B174" s="200"/>
      <c r="C174" s="229"/>
      <c r="D174" s="278" t="s">
        <v>345</v>
      </c>
      <c r="E174" s="201"/>
      <c r="F174" s="342"/>
      <c r="G174" s="201"/>
      <c r="H174" s="296"/>
    </row>
    <row r="175" spans="1:11" s="260" customFormat="1" ht="12.75" customHeight="1" x14ac:dyDescent="0.2">
      <c r="A175" s="195">
        <f>A168+1</f>
        <v>18</v>
      </c>
      <c r="B175" s="196" t="s">
        <v>176</v>
      </c>
      <c r="C175" s="219" t="s">
        <v>190</v>
      </c>
      <c r="D175" s="506" t="str">
        <f>$D$5</f>
        <v>FTE June 2024</v>
      </c>
      <c r="E175" s="198">
        <f>'3400'!I$145</f>
        <v>949.38</v>
      </c>
      <c r="F175" s="343"/>
      <c r="G175" s="198">
        <f>SUBTOTAL(109,E175:F182)</f>
        <v>949.38</v>
      </c>
      <c r="H175" s="259"/>
      <c r="I175" s="332"/>
    </row>
    <row r="176" spans="1:11" s="260" customFormat="1" ht="12.75" hidden="1" customHeight="1" x14ac:dyDescent="0.2">
      <c r="A176" s="195"/>
      <c r="B176" s="196"/>
      <c r="C176" s="219"/>
      <c r="D176" s="232" t="s">
        <v>279</v>
      </c>
      <c r="E176" s="198"/>
      <c r="F176" s="343"/>
      <c r="G176" s="198"/>
      <c r="H176" s="296"/>
      <c r="I176" s="334"/>
    </row>
    <row r="177" spans="1:9" s="260" customFormat="1" ht="12.75" hidden="1" customHeight="1" x14ac:dyDescent="0.2">
      <c r="A177" s="195"/>
      <c r="B177" s="196"/>
      <c r="C177" s="219"/>
      <c r="D177" s="350" t="s">
        <v>498</v>
      </c>
      <c r="E177" s="198"/>
      <c r="F177" s="343"/>
      <c r="G177" s="198"/>
      <c r="H177" s="296"/>
      <c r="I177" s="284"/>
    </row>
    <row r="178" spans="1:9" s="260" customFormat="1" ht="12.75" hidden="1" customHeight="1" x14ac:dyDescent="0.2">
      <c r="A178" s="195"/>
      <c r="B178" s="196"/>
      <c r="C178" s="219"/>
      <c r="D178" s="232" t="s">
        <v>281</v>
      </c>
      <c r="E178" s="198"/>
      <c r="F178" s="343"/>
      <c r="G178" s="198"/>
      <c r="H178" s="296"/>
      <c r="I178" s="284"/>
    </row>
    <row r="179" spans="1:9" s="260" customFormat="1" ht="12.75" hidden="1" customHeight="1" x14ac:dyDescent="0.2">
      <c r="A179" s="195"/>
      <c r="B179" s="196"/>
      <c r="C179" s="219"/>
      <c r="D179" s="232" t="s">
        <v>280</v>
      </c>
      <c r="E179" s="198"/>
      <c r="F179" s="343"/>
      <c r="G179" s="198"/>
      <c r="H179" s="296"/>
      <c r="I179" s="284"/>
    </row>
    <row r="180" spans="1:9" s="260" customFormat="1" ht="12.75" hidden="1" customHeight="1" x14ac:dyDescent="0.2">
      <c r="A180" s="195"/>
      <c r="B180" s="196"/>
      <c r="C180" s="219"/>
      <c r="D180" s="232" t="s">
        <v>289</v>
      </c>
      <c r="E180" s="198"/>
      <c r="F180" s="343"/>
      <c r="G180" s="198"/>
      <c r="H180" s="296"/>
    </row>
    <row r="181" spans="1:9" s="260" customFormat="1" ht="12.75" hidden="1" customHeight="1" x14ac:dyDescent="0.2">
      <c r="A181" s="195"/>
      <c r="B181" s="196"/>
      <c r="C181" s="219"/>
      <c r="D181" s="232" t="s">
        <v>258</v>
      </c>
      <c r="E181" s="198"/>
      <c r="F181" s="343"/>
      <c r="G181" s="198"/>
      <c r="H181" s="296"/>
      <c r="I181" s="188"/>
    </row>
    <row r="182" spans="1:9" ht="12.75" hidden="1" customHeight="1" x14ac:dyDescent="0.2">
      <c r="A182" s="195"/>
      <c r="B182" s="196"/>
      <c r="C182" s="219"/>
      <c r="D182" s="276" t="s">
        <v>345</v>
      </c>
      <c r="E182" s="198"/>
      <c r="F182" s="343"/>
      <c r="G182" s="198"/>
      <c r="H182" s="297"/>
    </row>
    <row r="183" spans="1:9" s="260" customFormat="1" ht="12.75" customHeight="1" x14ac:dyDescent="0.2">
      <c r="A183" s="199">
        <f>A175+1</f>
        <v>19</v>
      </c>
      <c r="B183" s="200" t="s">
        <v>177</v>
      </c>
      <c r="C183" s="220" t="s">
        <v>207</v>
      </c>
      <c r="D183" s="277" t="str">
        <f>$D$5</f>
        <v>FTE June 2024</v>
      </c>
      <c r="E183" s="201">
        <f>'3401'!I$145</f>
        <v>-6246.12</v>
      </c>
      <c r="F183" s="342"/>
      <c r="G183" s="201">
        <f>SUBTOTAL(109,E183:F193)</f>
        <v>-6246.12</v>
      </c>
      <c r="H183" s="259"/>
      <c r="I183" s="332"/>
    </row>
    <row r="184" spans="1:9" ht="12.75" hidden="1" customHeight="1" x14ac:dyDescent="0.2">
      <c r="A184" s="199"/>
      <c r="B184" s="200"/>
      <c r="C184" s="220"/>
      <c r="D184" s="233" t="s">
        <v>279</v>
      </c>
      <c r="E184" s="201"/>
      <c r="F184" s="342"/>
      <c r="G184" s="201"/>
      <c r="H184" s="297"/>
      <c r="I184" s="284"/>
    </row>
    <row r="185" spans="1:9" s="260" customFormat="1" ht="12.75" hidden="1" customHeight="1" x14ac:dyDescent="0.2">
      <c r="A185" s="199"/>
      <c r="B185" s="200"/>
      <c r="C185" s="220"/>
      <c r="D185" s="387" t="s">
        <v>498</v>
      </c>
      <c r="E185" s="201"/>
      <c r="F185" s="342"/>
      <c r="G185" s="201"/>
      <c r="H185" s="296"/>
      <c r="I185" s="284"/>
    </row>
    <row r="186" spans="1:9" s="260" customFormat="1" ht="12.75" hidden="1" customHeight="1" x14ac:dyDescent="0.2">
      <c r="A186" s="199"/>
      <c r="B186" s="200"/>
      <c r="C186" s="220"/>
      <c r="D186" s="233" t="s">
        <v>363</v>
      </c>
      <c r="E186" s="201"/>
      <c r="F186" s="342"/>
      <c r="G186" s="201"/>
      <c r="H186" s="296"/>
      <c r="I186" s="284"/>
    </row>
    <row r="187" spans="1:9" s="260" customFormat="1" ht="12.75" hidden="1" customHeight="1" x14ac:dyDescent="0.2">
      <c r="A187" s="199"/>
      <c r="B187" s="200"/>
      <c r="C187" s="220"/>
      <c r="D187" s="233" t="s">
        <v>364</v>
      </c>
      <c r="E187" s="201"/>
      <c r="F187" s="342"/>
      <c r="G187" s="201"/>
      <c r="H187" s="259"/>
      <c r="I187" s="231"/>
    </row>
    <row r="188" spans="1:9" s="260" customFormat="1" ht="12.75" hidden="1" customHeight="1" x14ac:dyDescent="0.2">
      <c r="A188" s="199"/>
      <c r="B188" s="200"/>
      <c r="C188" s="220"/>
      <c r="D188" s="233" t="s">
        <v>281</v>
      </c>
      <c r="E188" s="201"/>
      <c r="F188" s="342"/>
      <c r="G188" s="201"/>
      <c r="H188" s="296"/>
    </row>
    <row r="189" spans="1:9" s="260" customFormat="1" ht="12.75" hidden="1" customHeight="1" x14ac:dyDescent="0.2">
      <c r="A189" s="199"/>
      <c r="B189" s="200"/>
      <c r="C189" s="220"/>
      <c r="D189" s="233" t="s">
        <v>280</v>
      </c>
      <c r="E189" s="201"/>
      <c r="F189" s="342"/>
      <c r="G189" s="201"/>
      <c r="H189" s="296"/>
    </row>
    <row r="190" spans="1:9" s="260" customFormat="1" ht="12.75" hidden="1" customHeight="1" x14ac:dyDescent="0.2">
      <c r="A190" s="199"/>
      <c r="B190" s="200"/>
      <c r="C190" s="220"/>
      <c r="D190" s="233" t="s">
        <v>289</v>
      </c>
      <c r="E190" s="201"/>
      <c r="F190" s="342"/>
      <c r="G190" s="201"/>
      <c r="H190" s="296"/>
      <c r="I190" s="196"/>
    </row>
    <row r="191" spans="1:9" s="260" customFormat="1" ht="12.75" hidden="1" customHeight="1" x14ac:dyDescent="0.2">
      <c r="A191" s="199"/>
      <c r="B191" s="200"/>
      <c r="C191" s="220"/>
      <c r="D191" s="233" t="s">
        <v>258</v>
      </c>
      <c r="E191" s="201"/>
      <c r="F191" s="342"/>
      <c r="G191" s="201"/>
      <c r="H191" s="259"/>
      <c r="I191" s="332"/>
    </row>
    <row r="192" spans="1:9" s="260" customFormat="1" ht="12.75" hidden="1" customHeight="1" x14ac:dyDescent="0.2">
      <c r="A192" s="199"/>
      <c r="B192" s="200"/>
      <c r="C192" s="229"/>
      <c r="D192" s="315" t="s">
        <v>358</v>
      </c>
      <c r="E192" s="201"/>
      <c r="F192" s="342"/>
      <c r="G192" s="201"/>
      <c r="H192" s="259"/>
      <c r="I192" s="332"/>
    </row>
    <row r="193" spans="1:9" s="260" customFormat="1" ht="12.75" hidden="1" customHeight="1" x14ac:dyDescent="0.2">
      <c r="A193" s="199"/>
      <c r="B193" s="200"/>
      <c r="C193" s="220"/>
      <c r="D193" s="278" t="s">
        <v>345</v>
      </c>
      <c r="E193" s="201"/>
      <c r="F193" s="342"/>
      <c r="G193" s="201"/>
      <c r="H193" s="296"/>
      <c r="I193" s="196"/>
    </row>
    <row r="194" spans="1:9" s="260" customFormat="1" ht="12.75" customHeight="1" x14ac:dyDescent="0.2">
      <c r="A194" s="195">
        <f>A183+1</f>
        <v>20</v>
      </c>
      <c r="B194" s="196" t="s">
        <v>178</v>
      </c>
      <c r="C194" s="219" t="s">
        <v>208</v>
      </c>
      <c r="D194" s="506" t="str">
        <f>$D$5</f>
        <v>FTE June 2024</v>
      </c>
      <c r="E194" s="198">
        <f>'3413'!I$145</f>
        <v>-2097.36</v>
      </c>
      <c r="F194" s="343"/>
      <c r="G194" s="198">
        <f>SUBTOTAL(109,E194:F201)</f>
        <v>-2097.36</v>
      </c>
      <c r="H194" s="296"/>
      <c r="I194" s="196"/>
    </row>
    <row r="195" spans="1:9" s="260" customFormat="1" ht="12.75" hidden="1" customHeight="1" x14ac:dyDescent="0.2">
      <c r="A195" s="195"/>
      <c r="B195" s="196"/>
      <c r="C195" s="219"/>
      <c r="D195" s="232" t="s">
        <v>279</v>
      </c>
      <c r="E195" s="198"/>
      <c r="F195" s="343"/>
      <c r="G195" s="198"/>
      <c r="H195" s="296"/>
      <c r="I195" s="196"/>
    </row>
    <row r="196" spans="1:9" s="260" customFormat="1" ht="12.75" hidden="1" customHeight="1" x14ac:dyDescent="0.2">
      <c r="A196" s="195"/>
      <c r="B196" s="196"/>
      <c r="C196" s="219"/>
      <c r="D196" s="350" t="s">
        <v>498</v>
      </c>
      <c r="E196" s="198"/>
      <c r="F196" s="343"/>
      <c r="G196" s="198"/>
      <c r="H196" s="296"/>
      <c r="I196" s="196"/>
    </row>
    <row r="197" spans="1:9" s="260" customFormat="1" ht="12.75" hidden="1" customHeight="1" x14ac:dyDescent="0.2">
      <c r="A197" s="195"/>
      <c r="B197" s="196"/>
      <c r="C197" s="219"/>
      <c r="D197" s="232" t="s">
        <v>281</v>
      </c>
      <c r="E197" s="198"/>
      <c r="F197" s="343"/>
      <c r="G197" s="198"/>
      <c r="H197" s="296"/>
      <c r="I197" s="196"/>
    </row>
    <row r="198" spans="1:9" s="260" customFormat="1" ht="12.75" hidden="1" customHeight="1" x14ac:dyDescent="0.2">
      <c r="A198" s="195"/>
      <c r="B198" s="196"/>
      <c r="C198" s="219"/>
      <c r="D198" s="232" t="s">
        <v>280</v>
      </c>
      <c r="E198" s="198"/>
      <c r="F198" s="343"/>
      <c r="G198" s="198"/>
      <c r="H198" s="296"/>
      <c r="I198" s="196"/>
    </row>
    <row r="199" spans="1:9" s="260" customFormat="1" ht="12.75" hidden="1" customHeight="1" x14ac:dyDescent="0.2">
      <c r="A199" s="195"/>
      <c r="B199" s="196"/>
      <c r="C199" s="219"/>
      <c r="D199" s="232" t="s">
        <v>289</v>
      </c>
      <c r="E199" s="198"/>
      <c r="F199" s="343"/>
      <c r="G199" s="198"/>
      <c r="H199" s="296"/>
      <c r="I199" s="196"/>
    </row>
    <row r="200" spans="1:9" s="260" customFormat="1" ht="12.75" hidden="1" customHeight="1" x14ac:dyDescent="0.2">
      <c r="A200" s="195"/>
      <c r="B200" s="196"/>
      <c r="C200" s="219"/>
      <c r="D200" s="232" t="s">
        <v>258</v>
      </c>
      <c r="E200" s="198"/>
      <c r="F200" s="343"/>
      <c r="G200" s="198"/>
      <c r="H200" s="296"/>
      <c r="I200" s="196"/>
    </row>
    <row r="201" spans="1:9" s="260" customFormat="1" ht="12.75" hidden="1" customHeight="1" x14ac:dyDescent="0.2">
      <c r="A201" s="195"/>
      <c r="B201" s="196"/>
      <c r="C201" s="219"/>
      <c r="D201" s="276" t="s">
        <v>345</v>
      </c>
      <c r="E201" s="198"/>
      <c r="F201" s="343"/>
      <c r="G201" s="198"/>
      <c r="H201" s="259"/>
      <c r="I201" s="332"/>
    </row>
    <row r="202" spans="1:9" s="260" customFormat="1" ht="12.75" customHeight="1" x14ac:dyDescent="0.2">
      <c r="A202" s="199">
        <f>A194+1</f>
        <v>21</v>
      </c>
      <c r="B202" s="200" t="s">
        <v>179</v>
      </c>
      <c r="C202" s="220" t="s">
        <v>209</v>
      </c>
      <c r="D202" s="277" t="str">
        <f>$D$5</f>
        <v>FTE June 2024</v>
      </c>
      <c r="E202" s="201">
        <f>'3421'!I$145</f>
        <v>-4915.24</v>
      </c>
      <c r="F202" s="342"/>
      <c r="G202" s="201">
        <f>SUBTOTAL(109,E202:F212)</f>
        <v>-4915.24</v>
      </c>
      <c r="H202" s="296"/>
      <c r="I202" s="337"/>
    </row>
    <row r="203" spans="1:9" s="260" customFormat="1" ht="12.75" hidden="1" customHeight="1" x14ac:dyDescent="0.2">
      <c r="A203" s="199"/>
      <c r="B203" s="200"/>
      <c r="C203" s="220"/>
      <c r="D203" s="233" t="s">
        <v>279</v>
      </c>
      <c r="E203" s="201"/>
      <c r="F203" s="342"/>
      <c r="G203" s="201"/>
      <c r="H203" s="259"/>
      <c r="I203" s="332"/>
    </row>
    <row r="204" spans="1:9" s="260" customFormat="1" ht="12.75" hidden="1" customHeight="1" x14ac:dyDescent="0.2">
      <c r="A204" s="199"/>
      <c r="B204" s="200"/>
      <c r="C204" s="220"/>
      <c r="D204" s="387" t="s">
        <v>373</v>
      </c>
      <c r="E204" s="201"/>
      <c r="F204" s="342"/>
      <c r="G204" s="201"/>
      <c r="H204" s="296"/>
      <c r="I204" s="196"/>
    </row>
    <row r="205" spans="1:9" s="260" customFormat="1" ht="12.75" hidden="1" customHeight="1" x14ac:dyDescent="0.2">
      <c r="A205" s="199"/>
      <c r="B205" s="200"/>
      <c r="C205" s="220"/>
      <c r="D205" s="233" t="s">
        <v>363</v>
      </c>
      <c r="E205" s="201"/>
      <c r="F205" s="342"/>
      <c r="G205" s="201"/>
      <c r="H205" s="296"/>
      <c r="I205" s="196"/>
    </row>
    <row r="206" spans="1:9" s="260" customFormat="1" ht="12.75" hidden="1" customHeight="1" x14ac:dyDescent="0.2">
      <c r="A206" s="199"/>
      <c r="B206" s="200"/>
      <c r="C206" s="220"/>
      <c r="D206" s="233" t="s">
        <v>364</v>
      </c>
      <c r="E206" s="201"/>
      <c r="F206" s="342"/>
      <c r="G206" s="201"/>
      <c r="H206" s="259"/>
      <c r="I206" s="231"/>
    </row>
    <row r="207" spans="1:9" s="260" customFormat="1" ht="12.75" hidden="1" customHeight="1" x14ac:dyDescent="0.2">
      <c r="A207" s="199"/>
      <c r="B207" s="200"/>
      <c r="C207" s="220"/>
      <c r="D207" s="233" t="s">
        <v>281</v>
      </c>
      <c r="E207" s="201"/>
      <c r="F207" s="342"/>
      <c r="G207" s="201"/>
      <c r="H207" s="296"/>
    </row>
    <row r="208" spans="1:9" s="260" customFormat="1" ht="12.75" hidden="1" customHeight="1" x14ac:dyDescent="0.2">
      <c r="A208" s="199"/>
      <c r="B208" s="200"/>
      <c r="C208" s="220"/>
      <c r="D208" s="233" t="s">
        <v>280</v>
      </c>
      <c r="E208" s="201"/>
      <c r="F208" s="342"/>
      <c r="G208" s="201"/>
      <c r="H208" s="296"/>
    </row>
    <row r="209" spans="1:9" s="260" customFormat="1" ht="12.75" hidden="1" customHeight="1" x14ac:dyDescent="0.2">
      <c r="A209" s="199"/>
      <c r="B209" s="200"/>
      <c r="C209" s="220"/>
      <c r="D209" s="233" t="s">
        <v>289</v>
      </c>
      <c r="E209" s="201"/>
      <c r="F209" s="342"/>
      <c r="G209" s="201"/>
      <c r="H209" s="296"/>
    </row>
    <row r="210" spans="1:9" s="260" customFormat="1" ht="12.75" hidden="1" customHeight="1" x14ac:dyDescent="0.2">
      <c r="A210" s="199"/>
      <c r="B210" s="200"/>
      <c r="C210" s="220"/>
      <c r="D210" s="233" t="s">
        <v>258</v>
      </c>
      <c r="E210" s="201"/>
      <c r="F210" s="342"/>
      <c r="G210" s="201"/>
      <c r="H210" s="259"/>
      <c r="I210" s="332"/>
    </row>
    <row r="211" spans="1:9" s="260" customFormat="1" ht="12.75" hidden="1" customHeight="1" x14ac:dyDescent="0.2">
      <c r="A211" s="199"/>
      <c r="B211" s="200"/>
      <c r="C211" s="229"/>
      <c r="D211" s="315" t="s">
        <v>358</v>
      </c>
      <c r="E211" s="201"/>
      <c r="F211" s="342"/>
      <c r="G211" s="201"/>
      <c r="H211" s="259"/>
      <c r="I211" s="332"/>
    </row>
    <row r="212" spans="1:9" s="260" customFormat="1" ht="12.75" hidden="1" customHeight="1" x14ac:dyDescent="0.2">
      <c r="A212" s="199"/>
      <c r="B212" s="200"/>
      <c r="C212" s="220"/>
      <c r="D212" s="278" t="s">
        <v>345</v>
      </c>
      <c r="E212" s="201"/>
      <c r="F212" s="342"/>
      <c r="G212" s="201"/>
      <c r="H212" s="296"/>
    </row>
    <row r="213" spans="1:9" s="260" customFormat="1" ht="12.75" customHeight="1" x14ac:dyDescent="0.2">
      <c r="A213" s="195">
        <f>A202+1</f>
        <v>22</v>
      </c>
      <c r="B213" s="196" t="s">
        <v>180</v>
      </c>
      <c r="C213" s="219" t="s">
        <v>211</v>
      </c>
      <c r="D213" s="506" t="str">
        <f>$D$5</f>
        <v>FTE June 2024</v>
      </c>
      <c r="E213" s="198">
        <f>'3431'!I$145</f>
        <v>-4342.24</v>
      </c>
      <c r="F213" s="343"/>
      <c r="G213" s="198">
        <f>SUBTOTAL(109,E213:F222)</f>
        <v>-4342.24</v>
      </c>
      <c r="H213" s="296"/>
    </row>
    <row r="214" spans="1:9" s="260" customFormat="1" ht="12.75" hidden="1" customHeight="1" x14ac:dyDescent="0.2">
      <c r="A214" s="195"/>
      <c r="B214" s="196"/>
      <c r="C214" s="219"/>
      <c r="D214" s="232" t="s">
        <v>279</v>
      </c>
      <c r="E214" s="198"/>
      <c r="F214" s="343"/>
      <c r="G214" s="198"/>
      <c r="H214" s="296"/>
      <c r="I214" s="196"/>
    </row>
    <row r="215" spans="1:9" s="260" customFormat="1" ht="12.75" hidden="1" customHeight="1" x14ac:dyDescent="0.2">
      <c r="A215" s="195"/>
      <c r="B215" s="196"/>
      <c r="C215" s="219"/>
      <c r="D215" s="350" t="s">
        <v>498</v>
      </c>
      <c r="E215" s="198"/>
      <c r="F215" s="343"/>
      <c r="G215" s="198"/>
      <c r="H215" s="296"/>
      <c r="I215" s="196"/>
    </row>
    <row r="216" spans="1:9" s="260" customFormat="1" ht="12.75" hidden="1" customHeight="1" x14ac:dyDescent="0.2">
      <c r="A216" s="195"/>
      <c r="B216" s="196"/>
      <c r="C216" s="219"/>
      <c r="D216" s="232" t="s">
        <v>281</v>
      </c>
      <c r="E216" s="198"/>
      <c r="F216" s="343"/>
      <c r="G216" s="198"/>
      <c r="H216" s="296"/>
      <c r="I216" s="196"/>
    </row>
    <row r="217" spans="1:9" s="260" customFormat="1" ht="12.75" hidden="1" customHeight="1" x14ac:dyDescent="0.2">
      <c r="A217" s="195"/>
      <c r="B217" s="196"/>
      <c r="C217" s="219"/>
      <c r="D217" s="232" t="s">
        <v>354</v>
      </c>
      <c r="E217" s="198"/>
      <c r="F217" s="343"/>
      <c r="G217" s="198"/>
      <c r="H217" s="296"/>
    </row>
    <row r="218" spans="1:9" s="260" customFormat="1" ht="12.75" hidden="1" customHeight="1" x14ac:dyDescent="0.2">
      <c r="A218" s="195"/>
      <c r="B218" s="196"/>
      <c r="C218" s="219"/>
      <c r="D218" s="232" t="s">
        <v>289</v>
      </c>
      <c r="E218" s="198"/>
      <c r="F218" s="343"/>
      <c r="G218" s="198"/>
      <c r="H218" s="296"/>
      <c r="I218" s="196"/>
    </row>
    <row r="219" spans="1:9" s="260" customFormat="1" ht="12.75" hidden="1" customHeight="1" x14ac:dyDescent="0.2">
      <c r="A219" s="195"/>
      <c r="B219" s="196"/>
      <c r="C219" s="219"/>
      <c r="D219" s="232" t="s">
        <v>258</v>
      </c>
      <c r="E219" s="198"/>
      <c r="F219" s="343"/>
      <c r="G219" s="198"/>
      <c r="H219" s="296"/>
    </row>
    <row r="220" spans="1:9" s="260" customFormat="1" ht="12.75" hidden="1" customHeight="1" x14ac:dyDescent="0.2">
      <c r="A220" s="195"/>
      <c r="B220" s="196"/>
      <c r="C220" s="219"/>
      <c r="D220" s="232" t="s">
        <v>303</v>
      </c>
      <c r="E220" s="198"/>
      <c r="F220" s="343"/>
      <c r="G220" s="198"/>
      <c r="H220" s="259"/>
      <c r="I220" s="332"/>
    </row>
    <row r="221" spans="1:9" s="260" customFormat="1" ht="12.75" hidden="1" customHeight="1" x14ac:dyDescent="0.2">
      <c r="A221" s="195"/>
      <c r="B221" s="196"/>
      <c r="C221" s="231"/>
      <c r="D221" s="351" t="s">
        <v>358</v>
      </c>
      <c r="E221" s="198"/>
      <c r="F221" s="343"/>
      <c r="G221" s="198"/>
      <c r="H221" s="296"/>
      <c r="I221" s="337"/>
    </row>
    <row r="222" spans="1:9" s="260" customFormat="1" ht="12.75" hidden="1" customHeight="1" x14ac:dyDescent="0.2">
      <c r="A222" s="195"/>
      <c r="B222" s="196"/>
      <c r="C222" s="219"/>
      <c r="D222" s="276" t="s">
        <v>360</v>
      </c>
      <c r="E222" s="198"/>
      <c r="F222" s="343"/>
      <c r="G222" s="198"/>
      <c r="H222" s="259"/>
      <c r="I222" s="332"/>
    </row>
    <row r="223" spans="1:9" s="260" customFormat="1" ht="12.75" customHeight="1" x14ac:dyDescent="0.2">
      <c r="A223" s="199">
        <f>A213+1</f>
        <v>23</v>
      </c>
      <c r="B223" s="200">
        <v>3441</v>
      </c>
      <c r="C223" s="262" t="s">
        <v>229</v>
      </c>
      <c r="D223" s="277" t="str">
        <f>$D$5</f>
        <v>FTE June 2024</v>
      </c>
      <c r="E223" s="201">
        <f>'3441'!I$145</f>
        <v>-6548.47</v>
      </c>
      <c r="F223" s="342"/>
      <c r="G223" s="201">
        <f>SUBTOTAL(109,E223:F231)</f>
        <v>-6548.47</v>
      </c>
      <c r="H223" s="296"/>
    </row>
    <row r="224" spans="1:9" s="260" customFormat="1" ht="12.75" hidden="1" customHeight="1" x14ac:dyDescent="0.2">
      <c r="A224" s="199"/>
      <c r="B224" s="200"/>
      <c r="C224" s="262"/>
      <c r="D224" s="233" t="s">
        <v>279</v>
      </c>
      <c r="E224" s="201"/>
      <c r="F224" s="342"/>
      <c r="G224" s="201"/>
      <c r="H224" s="296"/>
    </row>
    <row r="225" spans="1:9" s="260" customFormat="1" ht="12.75" hidden="1" customHeight="1" x14ac:dyDescent="0.2">
      <c r="A225" s="199"/>
      <c r="B225" s="200"/>
      <c r="C225" s="220"/>
      <c r="D225" s="387" t="s">
        <v>498</v>
      </c>
      <c r="E225" s="201"/>
      <c r="F225" s="342"/>
      <c r="G225" s="201"/>
      <c r="H225" s="296"/>
      <c r="I225" s="196"/>
    </row>
    <row r="226" spans="1:9" s="260" customFormat="1" ht="12.75" hidden="1" customHeight="1" x14ac:dyDescent="0.2">
      <c r="A226" s="199"/>
      <c r="B226" s="200"/>
      <c r="C226" s="262"/>
      <c r="D226" s="233" t="s">
        <v>281</v>
      </c>
      <c r="E226" s="201"/>
      <c r="F226" s="342"/>
      <c r="G226" s="201"/>
      <c r="H226" s="296"/>
    </row>
    <row r="227" spans="1:9" s="260" customFormat="1" ht="12.75" hidden="1" customHeight="1" x14ac:dyDescent="0.2">
      <c r="A227" s="199"/>
      <c r="B227" s="200"/>
      <c r="C227" s="220"/>
      <c r="D227" s="233" t="s">
        <v>280</v>
      </c>
      <c r="E227" s="201"/>
      <c r="F227" s="342"/>
      <c r="G227" s="201"/>
      <c r="H227" s="296"/>
      <c r="I227" s="196"/>
    </row>
    <row r="228" spans="1:9" s="260" customFormat="1" ht="12.75" hidden="1" customHeight="1" x14ac:dyDescent="0.2">
      <c r="A228" s="199"/>
      <c r="B228" s="200"/>
      <c r="C228" s="220"/>
      <c r="D228" s="233" t="s">
        <v>289</v>
      </c>
      <c r="E228" s="201"/>
      <c r="F228" s="342"/>
      <c r="G228" s="201"/>
      <c r="H228" s="296"/>
      <c r="I228" s="196"/>
    </row>
    <row r="229" spans="1:9" s="260" customFormat="1" ht="12.75" hidden="1" customHeight="1" x14ac:dyDescent="0.2">
      <c r="A229" s="199"/>
      <c r="B229" s="200"/>
      <c r="C229" s="220"/>
      <c r="D229" s="233" t="s">
        <v>258</v>
      </c>
      <c r="E229" s="201"/>
      <c r="F229" s="342"/>
      <c r="G229" s="201"/>
      <c r="H229" s="296"/>
      <c r="I229" s="332"/>
    </row>
    <row r="230" spans="1:9" s="260" customFormat="1" ht="12.75" hidden="1" customHeight="1" x14ac:dyDescent="0.2">
      <c r="A230" s="199"/>
      <c r="B230" s="200"/>
      <c r="C230" s="220"/>
      <c r="D230" s="233" t="s">
        <v>303</v>
      </c>
      <c r="E230" s="201"/>
      <c r="F230" s="342"/>
      <c r="G230" s="201"/>
      <c r="H230" s="296"/>
      <c r="I230" s="284"/>
    </row>
    <row r="231" spans="1:9" s="260" customFormat="1" ht="12.75" hidden="1" customHeight="1" x14ac:dyDescent="0.2">
      <c r="A231" s="199"/>
      <c r="B231" s="200"/>
      <c r="C231" s="220"/>
      <c r="D231" s="278" t="s">
        <v>345</v>
      </c>
      <c r="E231" s="201"/>
      <c r="F231" s="342"/>
      <c r="G231" s="201"/>
      <c r="H231" s="296"/>
      <c r="I231" s="337"/>
    </row>
    <row r="232" spans="1:9" s="260" customFormat="1" ht="12.75" customHeight="1" x14ac:dyDescent="0.2">
      <c r="A232" s="195">
        <f>A223+1</f>
        <v>24</v>
      </c>
      <c r="B232" s="196">
        <v>3924</v>
      </c>
      <c r="C232" s="261" t="s">
        <v>378</v>
      </c>
      <c r="D232" s="506" t="str">
        <f>$D$5</f>
        <v>FTE June 2024</v>
      </c>
      <c r="E232" s="198">
        <f>'3924'!I$145</f>
        <v>-2040.17</v>
      </c>
      <c r="F232" s="343"/>
      <c r="G232" s="198">
        <f>SUBTOTAL(109,E232:F241)</f>
        <v>-2040.17</v>
      </c>
      <c r="H232" s="296"/>
    </row>
    <row r="233" spans="1:9" s="260" customFormat="1" ht="12.75" hidden="1" customHeight="1" x14ac:dyDescent="0.2">
      <c r="A233" s="195"/>
      <c r="B233" s="196"/>
      <c r="C233" s="219"/>
      <c r="D233" s="232" t="s">
        <v>279</v>
      </c>
      <c r="E233" s="198"/>
      <c r="F233" s="343"/>
      <c r="G233" s="198"/>
      <c r="H233" s="296"/>
    </row>
    <row r="234" spans="1:9" s="260" customFormat="1" ht="12.75" hidden="1" customHeight="1" x14ac:dyDescent="0.2">
      <c r="A234" s="195"/>
      <c r="B234" s="196"/>
      <c r="C234" s="219"/>
      <c r="D234" s="350" t="s">
        <v>498</v>
      </c>
      <c r="E234" s="198"/>
      <c r="F234" s="343"/>
      <c r="G234" s="198"/>
      <c r="H234" s="296"/>
    </row>
    <row r="235" spans="1:9" s="260" customFormat="1" ht="12.75" hidden="1" customHeight="1" x14ac:dyDescent="0.2">
      <c r="A235" s="195"/>
      <c r="B235" s="196"/>
      <c r="C235" s="219"/>
      <c r="D235" s="350" t="s">
        <v>361</v>
      </c>
      <c r="E235" s="198"/>
      <c r="F235" s="343"/>
      <c r="G235" s="198"/>
      <c r="H235" s="259"/>
      <c r="I235" s="231"/>
    </row>
    <row r="236" spans="1:9" s="260" customFormat="1" ht="12.75" hidden="1" customHeight="1" x14ac:dyDescent="0.2">
      <c r="A236" s="195"/>
      <c r="B236" s="196"/>
      <c r="C236" s="219"/>
      <c r="D236" s="232" t="s">
        <v>281</v>
      </c>
      <c r="E236" s="198"/>
      <c r="F236" s="343"/>
      <c r="G236" s="198"/>
      <c r="H236" s="296"/>
    </row>
    <row r="237" spans="1:9" s="260" customFormat="1" ht="12.75" hidden="1" customHeight="1" x14ac:dyDescent="0.2">
      <c r="A237" s="195"/>
      <c r="B237" s="196"/>
      <c r="C237" s="219"/>
      <c r="D237" s="232" t="s">
        <v>280</v>
      </c>
      <c r="E237" s="198"/>
      <c r="F237" s="343"/>
      <c r="G237" s="198"/>
      <c r="H237" s="296"/>
    </row>
    <row r="238" spans="1:9" s="260" customFormat="1" ht="12.75" hidden="1" customHeight="1" x14ac:dyDescent="0.2">
      <c r="A238" s="195"/>
      <c r="B238" s="196"/>
      <c r="C238" s="219"/>
      <c r="D238" s="232" t="s">
        <v>289</v>
      </c>
      <c r="E238" s="198"/>
      <c r="F238" s="343"/>
      <c r="G238" s="198"/>
      <c r="H238" s="296"/>
      <c r="I238" s="196"/>
    </row>
    <row r="239" spans="1:9" s="260" customFormat="1" ht="12.75" hidden="1" customHeight="1" x14ac:dyDescent="0.2">
      <c r="A239" s="195"/>
      <c r="B239" s="196"/>
      <c r="C239" s="219"/>
      <c r="D239" s="232" t="s">
        <v>258</v>
      </c>
      <c r="E239" s="198"/>
      <c r="F239" s="343"/>
      <c r="G239" s="198"/>
      <c r="H239" s="259"/>
      <c r="I239" s="332"/>
    </row>
    <row r="240" spans="1:9" s="260" customFormat="1" ht="12.75" hidden="1" customHeight="1" x14ac:dyDescent="0.2">
      <c r="A240" s="195"/>
      <c r="B240" s="196"/>
      <c r="C240" s="231"/>
      <c r="D240" s="351" t="s">
        <v>358</v>
      </c>
      <c r="E240" s="198"/>
      <c r="F240" s="343"/>
      <c r="G240" s="198"/>
      <c r="H240" s="296"/>
    </row>
    <row r="241" spans="1:9" s="260" customFormat="1" ht="12.75" hidden="1" customHeight="1" x14ac:dyDescent="0.2">
      <c r="A241" s="195"/>
      <c r="B241" s="196"/>
      <c r="C241" s="219"/>
      <c r="D241" s="276" t="s">
        <v>392</v>
      </c>
      <c r="E241" s="198"/>
      <c r="F241" s="343"/>
      <c r="G241" s="198"/>
      <c r="H241" s="296"/>
    </row>
    <row r="242" spans="1:9" s="260" customFormat="1" ht="12.75" customHeight="1" x14ac:dyDescent="0.2">
      <c r="A242" s="199">
        <f>A232+1</f>
        <v>25</v>
      </c>
      <c r="B242" s="200" t="s">
        <v>181</v>
      </c>
      <c r="C242" s="220" t="s">
        <v>192</v>
      </c>
      <c r="D242" s="277" t="str">
        <f>$D$5</f>
        <v>FTE June 2024</v>
      </c>
      <c r="E242" s="201">
        <f>'3941'!I$145</f>
        <v>308.52999999999997</v>
      </c>
      <c r="F242" s="342"/>
      <c r="G242" s="201">
        <f>SUBTOTAL(109,E242:F251)</f>
        <v>308.52999999999997</v>
      </c>
      <c r="H242" s="296"/>
    </row>
    <row r="243" spans="1:9" s="260" customFormat="1" ht="12.75" hidden="1" customHeight="1" x14ac:dyDescent="0.2">
      <c r="A243" s="199"/>
      <c r="B243" s="200"/>
      <c r="C243" s="220"/>
      <c r="D243" s="233" t="s">
        <v>279</v>
      </c>
      <c r="E243" s="201"/>
      <c r="F243" s="342"/>
      <c r="G243" s="201"/>
      <c r="H243" s="296"/>
    </row>
    <row r="244" spans="1:9" s="260" customFormat="1" ht="12.75" hidden="1" customHeight="1" x14ac:dyDescent="0.2">
      <c r="A244" s="199"/>
      <c r="B244" s="200"/>
      <c r="C244" s="220"/>
      <c r="D244" s="387" t="s">
        <v>498</v>
      </c>
      <c r="E244" s="201"/>
      <c r="F244" s="342"/>
      <c r="G244" s="201"/>
      <c r="H244" s="296"/>
      <c r="I244" s="196"/>
    </row>
    <row r="245" spans="1:9" s="260" customFormat="1" ht="12.75" hidden="1" customHeight="1" x14ac:dyDescent="0.2">
      <c r="A245" s="199"/>
      <c r="B245" s="200"/>
      <c r="C245" s="220"/>
      <c r="D245" s="233" t="s">
        <v>281</v>
      </c>
      <c r="E245" s="201"/>
      <c r="F245" s="342"/>
      <c r="G245" s="201"/>
      <c r="H245" s="296"/>
      <c r="I245" s="196"/>
    </row>
    <row r="246" spans="1:9" s="260" customFormat="1" ht="12.75" hidden="1" customHeight="1" x14ac:dyDescent="0.2">
      <c r="A246" s="199"/>
      <c r="B246" s="200"/>
      <c r="C246" s="220"/>
      <c r="D246" s="233" t="s">
        <v>280</v>
      </c>
      <c r="E246" s="201"/>
      <c r="F246" s="342"/>
      <c r="G246" s="201"/>
      <c r="H246" s="296"/>
    </row>
    <row r="247" spans="1:9" s="260" customFormat="1" ht="12.75" hidden="1" customHeight="1" x14ac:dyDescent="0.2">
      <c r="A247" s="199"/>
      <c r="B247" s="200"/>
      <c r="C247" s="220"/>
      <c r="D247" s="233" t="s">
        <v>289</v>
      </c>
      <c r="E247" s="201"/>
      <c r="F247" s="342"/>
      <c r="G247" s="201"/>
      <c r="H247" s="296"/>
    </row>
    <row r="248" spans="1:9" s="260" customFormat="1" ht="12.75" hidden="1" customHeight="1" x14ac:dyDescent="0.2">
      <c r="A248" s="199"/>
      <c r="B248" s="200"/>
      <c r="C248" s="220"/>
      <c r="D248" s="233" t="s">
        <v>258</v>
      </c>
      <c r="E248" s="201"/>
      <c r="F248" s="342"/>
      <c r="G248" s="201"/>
      <c r="H248" s="296"/>
    </row>
    <row r="249" spans="1:9" s="260" customFormat="1" ht="12.75" hidden="1" customHeight="1" x14ac:dyDescent="0.2">
      <c r="A249" s="199"/>
      <c r="B249" s="200"/>
      <c r="C249" s="220"/>
      <c r="D249" s="233" t="s">
        <v>339</v>
      </c>
      <c r="E249" s="201"/>
      <c r="F249" s="342"/>
      <c r="G249" s="201"/>
      <c r="H249" s="296"/>
      <c r="I249" s="332"/>
    </row>
    <row r="250" spans="1:9" s="260" customFormat="1" ht="12.75" hidden="1" customHeight="1" x14ac:dyDescent="0.2">
      <c r="A250" s="199"/>
      <c r="B250" s="200"/>
      <c r="C250" s="220"/>
      <c r="D250" s="233" t="s">
        <v>358</v>
      </c>
      <c r="E250" s="201"/>
      <c r="F250" s="342"/>
      <c r="G250" s="201"/>
      <c r="H250" s="296"/>
      <c r="I250" s="337"/>
    </row>
    <row r="251" spans="1:9" s="260" customFormat="1" ht="12.75" hidden="1" customHeight="1" x14ac:dyDescent="0.2">
      <c r="A251" s="199"/>
      <c r="B251" s="200"/>
      <c r="C251" s="220"/>
      <c r="D251" s="233"/>
      <c r="E251" s="201"/>
      <c r="F251" s="342"/>
      <c r="G251" s="201"/>
      <c r="H251" s="296"/>
      <c r="I251" s="332"/>
    </row>
    <row r="252" spans="1:9" s="260" customFormat="1" ht="12.75" customHeight="1" x14ac:dyDescent="0.2">
      <c r="A252" s="195">
        <f>A242+1</f>
        <v>26</v>
      </c>
      <c r="B252" s="196" t="s">
        <v>182</v>
      </c>
      <c r="C252" s="219" t="s">
        <v>202</v>
      </c>
      <c r="D252" s="506" t="str">
        <f>$D$5</f>
        <v>FTE June 2024</v>
      </c>
      <c r="E252" s="198">
        <f>'3961'!I$145</f>
        <v>300.19</v>
      </c>
      <c r="F252" s="343"/>
      <c r="G252" s="198">
        <f>SUBTOTAL(109,E252:F259)</f>
        <v>300.19</v>
      </c>
      <c r="H252" s="296"/>
    </row>
    <row r="253" spans="1:9" s="260" customFormat="1" ht="12.75" hidden="1" customHeight="1" x14ac:dyDescent="0.2">
      <c r="A253" s="195"/>
      <c r="B253" s="196"/>
      <c r="C253" s="219"/>
      <c r="D253" s="232" t="s">
        <v>279</v>
      </c>
      <c r="E253" s="198"/>
      <c r="F253" s="343"/>
      <c r="G253" s="198"/>
      <c r="H253" s="296"/>
    </row>
    <row r="254" spans="1:9" s="260" customFormat="1" ht="12.75" hidden="1" customHeight="1" x14ac:dyDescent="0.2">
      <c r="A254" s="195"/>
      <c r="B254" s="196"/>
      <c r="C254" s="219"/>
      <c r="D254" s="350" t="s">
        <v>498</v>
      </c>
      <c r="E254" s="198"/>
      <c r="F254" s="343"/>
      <c r="G254" s="198"/>
      <c r="H254" s="296"/>
      <c r="I254" s="196"/>
    </row>
    <row r="255" spans="1:9" s="260" customFormat="1" ht="12.75" hidden="1" customHeight="1" x14ac:dyDescent="0.2">
      <c r="A255" s="195"/>
      <c r="B255" s="196"/>
      <c r="C255" s="219"/>
      <c r="D255" s="232" t="s">
        <v>281</v>
      </c>
      <c r="E255" s="198"/>
      <c r="F255" s="343"/>
      <c r="G255" s="198"/>
      <c r="H255" s="296"/>
    </row>
    <row r="256" spans="1:9" s="260" customFormat="1" ht="12.75" hidden="1" customHeight="1" x14ac:dyDescent="0.2">
      <c r="A256" s="195"/>
      <c r="B256" s="196"/>
      <c r="C256" s="219"/>
      <c r="D256" s="232" t="s">
        <v>280</v>
      </c>
      <c r="E256" s="198"/>
      <c r="F256" s="343"/>
      <c r="G256" s="198"/>
      <c r="H256" s="296"/>
    </row>
    <row r="257" spans="1:9" s="260" customFormat="1" ht="12.75" hidden="1" customHeight="1" x14ac:dyDescent="0.2">
      <c r="A257" s="195"/>
      <c r="B257" s="196"/>
      <c r="C257" s="219"/>
      <c r="D257" s="232" t="s">
        <v>289</v>
      </c>
      <c r="E257" s="198"/>
      <c r="F257" s="343"/>
      <c r="G257" s="198"/>
      <c r="H257" s="296"/>
    </row>
    <row r="258" spans="1:9" s="260" customFormat="1" ht="12.75" hidden="1" customHeight="1" x14ac:dyDescent="0.2">
      <c r="A258" s="195"/>
      <c r="B258" s="196"/>
      <c r="C258" s="219"/>
      <c r="D258" s="232" t="s">
        <v>258</v>
      </c>
      <c r="E258" s="198"/>
      <c r="F258" s="343"/>
      <c r="G258" s="198"/>
      <c r="H258" s="259"/>
      <c r="I258" s="332"/>
    </row>
    <row r="259" spans="1:9" s="260" customFormat="1" ht="12.75" hidden="1" customHeight="1" x14ac:dyDescent="0.2">
      <c r="A259" s="195"/>
      <c r="B259" s="196"/>
      <c r="C259" s="231"/>
      <c r="D259" s="276" t="s">
        <v>359</v>
      </c>
      <c r="E259" s="198"/>
      <c r="F259" s="343"/>
      <c r="G259" s="198"/>
      <c r="H259" s="259"/>
      <c r="I259" s="332"/>
    </row>
    <row r="260" spans="1:9" s="260" customFormat="1" ht="12.75" customHeight="1" x14ac:dyDescent="0.2">
      <c r="A260" s="199">
        <f>A252+1</f>
        <v>27</v>
      </c>
      <c r="B260" s="200" t="s">
        <v>183</v>
      </c>
      <c r="C260" s="220" t="s">
        <v>340</v>
      </c>
      <c r="D260" s="277" t="str">
        <f>$D$5</f>
        <v>FTE June 2024</v>
      </c>
      <c r="E260" s="201">
        <f>'3971'!I$145</f>
        <v>-8502.7199999999993</v>
      </c>
      <c r="F260" s="342"/>
      <c r="G260" s="201">
        <f>SUBTOTAL(109,E260:F267)</f>
        <v>-8502.7199999999993</v>
      </c>
      <c r="H260" s="259"/>
      <c r="I260" s="332"/>
    </row>
    <row r="261" spans="1:9" s="260" customFormat="1" ht="12.75" hidden="1" customHeight="1" x14ac:dyDescent="0.2">
      <c r="A261" s="199"/>
      <c r="B261" s="200"/>
      <c r="C261" s="220"/>
      <c r="D261" s="233" t="s">
        <v>279</v>
      </c>
      <c r="E261" s="201"/>
      <c r="F261" s="342"/>
      <c r="G261" s="201"/>
      <c r="H261" s="296"/>
    </row>
    <row r="262" spans="1:9" s="260" customFormat="1" ht="12.75" hidden="1" customHeight="1" x14ac:dyDescent="0.2">
      <c r="A262" s="199"/>
      <c r="B262" s="200"/>
      <c r="C262" s="220"/>
      <c r="D262" s="387" t="s">
        <v>498</v>
      </c>
      <c r="E262" s="201"/>
      <c r="F262" s="342"/>
      <c r="G262" s="201"/>
      <c r="H262" s="296"/>
    </row>
    <row r="263" spans="1:9" s="260" customFormat="1" ht="12.75" hidden="1" customHeight="1" x14ac:dyDescent="0.2">
      <c r="A263" s="199"/>
      <c r="B263" s="200"/>
      <c r="C263" s="220"/>
      <c r="D263" s="233" t="s">
        <v>281</v>
      </c>
      <c r="E263" s="201"/>
      <c r="F263" s="342"/>
      <c r="G263" s="201"/>
      <c r="H263" s="296"/>
    </row>
    <row r="264" spans="1:9" s="260" customFormat="1" ht="12.75" hidden="1" customHeight="1" x14ac:dyDescent="0.2">
      <c r="A264" s="199"/>
      <c r="B264" s="200"/>
      <c r="C264" s="220"/>
      <c r="D264" s="233" t="s">
        <v>280</v>
      </c>
      <c r="E264" s="201"/>
      <c r="F264" s="342"/>
      <c r="G264" s="201"/>
      <c r="H264" s="296"/>
      <c r="I264" s="196"/>
    </row>
    <row r="265" spans="1:9" s="260" customFormat="1" ht="12.75" hidden="1" customHeight="1" x14ac:dyDescent="0.2">
      <c r="A265" s="199"/>
      <c r="B265" s="200"/>
      <c r="C265" s="220"/>
      <c r="D265" s="233" t="s">
        <v>289</v>
      </c>
      <c r="E265" s="201"/>
      <c r="F265" s="342"/>
      <c r="G265" s="201"/>
      <c r="H265" s="296"/>
    </row>
    <row r="266" spans="1:9" s="260" customFormat="1" ht="12.75" hidden="1" customHeight="1" x14ac:dyDescent="0.2">
      <c r="A266" s="199"/>
      <c r="B266" s="200"/>
      <c r="C266" s="220"/>
      <c r="D266" s="233" t="s">
        <v>258</v>
      </c>
      <c r="E266" s="201"/>
      <c r="F266" s="342"/>
      <c r="G266" s="201"/>
      <c r="H266" s="296"/>
    </row>
    <row r="267" spans="1:9" s="260" customFormat="1" ht="12.75" hidden="1" customHeight="1" x14ac:dyDescent="0.2">
      <c r="A267" s="199"/>
      <c r="B267" s="200"/>
      <c r="C267" s="220"/>
      <c r="D267" s="278" t="s">
        <v>365</v>
      </c>
      <c r="E267" s="201"/>
      <c r="F267" s="342"/>
      <c r="G267" s="201"/>
      <c r="H267" s="296"/>
      <c r="I267" s="188"/>
    </row>
    <row r="268" spans="1:9" s="260" customFormat="1" ht="12.75" customHeight="1" x14ac:dyDescent="0.2">
      <c r="A268" s="195">
        <f>A260+1</f>
        <v>28</v>
      </c>
      <c r="B268" s="196" t="s">
        <v>184</v>
      </c>
      <c r="C268" s="219" t="s">
        <v>220</v>
      </c>
      <c r="D268" s="506" t="str">
        <f>$D$5</f>
        <v>FTE June 2024</v>
      </c>
      <c r="E268" s="379">
        <f>'4001'!I$145</f>
        <v>6193.04</v>
      </c>
      <c r="F268" s="343"/>
      <c r="G268" s="198">
        <f>SUBTOTAL(109,E268:F276)</f>
        <v>6193.04</v>
      </c>
      <c r="H268" s="296"/>
      <c r="I268" s="332"/>
    </row>
    <row r="269" spans="1:9" ht="12.75" hidden="1" customHeight="1" x14ac:dyDescent="0.2">
      <c r="A269" s="195"/>
      <c r="B269" s="196"/>
      <c r="C269" s="219"/>
      <c r="D269" s="232" t="s">
        <v>279</v>
      </c>
      <c r="E269" s="198"/>
      <c r="F269" s="343"/>
      <c r="G269" s="198"/>
      <c r="H269" s="297"/>
      <c r="I269" s="260"/>
    </row>
    <row r="270" spans="1:9" s="260" customFormat="1" ht="12.75" hidden="1" customHeight="1" x14ac:dyDescent="0.2">
      <c r="A270" s="195"/>
      <c r="B270" s="196"/>
      <c r="C270" s="219"/>
      <c r="D270" s="350" t="s">
        <v>498</v>
      </c>
      <c r="E270" s="198"/>
      <c r="F270" s="343"/>
      <c r="G270" s="198"/>
      <c r="H270" s="296"/>
    </row>
    <row r="271" spans="1:9" s="260" customFormat="1" ht="12.75" hidden="1" customHeight="1" x14ac:dyDescent="0.2">
      <c r="A271" s="195"/>
      <c r="B271" s="196"/>
      <c r="C271" s="219"/>
      <c r="D271" s="232" t="s">
        <v>281</v>
      </c>
      <c r="E271" s="198"/>
      <c r="F271" s="343"/>
      <c r="G271" s="198"/>
      <c r="H271" s="296"/>
    </row>
    <row r="272" spans="1:9" s="260" customFormat="1" ht="12.75" hidden="1" customHeight="1" x14ac:dyDescent="0.2">
      <c r="A272" s="195"/>
      <c r="B272" s="196"/>
      <c r="C272" s="219"/>
      <c r="D272" s="232" t="s">
        <v>280</v>
      </c>
      <c r="E272" s="198"/>
      <c r="F272" s="343"/>
      <c r="G272" s="198"/>
      <c r="H272" s="296"/>
      <c r="I272" s="196"/>
    </row>
    <row r="273" spans="1:9" s="260" customFormat="1" ht="12.75" hidden="1" customHeight="1" x14ac:dyDescent="0.2">
      <c r="A273" s="195"/>
      <c r="B273" s="196"/>
      <c r="C273" s="219"/>
      <c r="D273" s="232" t="s">
        <v>289</v>
      </c>
      <c r="E273" s="198"/>
      <c r="F273" s="343"/>
      <c r="G273" s="198"/>
      <c r="H273" s="296"/>
    </row>
    <row r="274" spans="1:9" s="260" customFormat="1" ht="12.75" hidden="1" customHeight="1" x14ac:dyDescent="0.2">
      <c r="A274" s="195"/>
      <c r="B274" s="196"/>
      <c r="C274" s="219"/>
      <c r="D274" s="232" t="s">
        <v>258</v>
      </c>
      <c r="E274" s="198"/>
      <c r="F274" s="343"/>
      <c r="G274" s="198"/>
      <c r="H274" s="296"/>
    </row>
    <row r="275" spans="1:9" s="260" customFormat="1" ht="12.75" hidden="1" customHeight="1" x14ac:dyDescent="0.2">
      <c r="A275" s="195"/>
      <c r="B275" s="196"/>
      <c r="C275" s="219"/>
      <c r="D275" s="232" t="s">
        <v>358</v>
      </c>
      <c r="E275" s="198"/>
      <c r="F275" s="343"/>
      <c r="G275" s="198"/>
      <c r="H275" s="296"/>
    </row>
    <row r="276" spans="1:9" s="260" customFormat="1" ht="12.75" hidden="1" customHeight="1" x14ac:dyDescent="0.2">
      <c r="A276" s="195"/>
      <c r="B276" s="196"/>
      <c r="C276" s="219"/>
      <c r="D276" s="276" t="s">
        <v>345</v>
      </c>
      <c r="E276" s="198"/>
      <c r="F276" s="343"/>
      <c r="G276" s="198"/>
      <c r="H276" s="259"/>
      <c r="I276" s="332"/>
    </row>
    <row r="277" spans="1:9" s="260" customFormat="1" ht="12.75" customHeight="1" x14ac:dyDescent="0.2">
      <c r="A277" s="199">
        <f>A268+1</f>
        <v>29</v>
      </c>
      <c r="B277" s="200">
        <v>4002</v>
      </c>
      <c r="C277" s="220" t="s">
        <v>219</v>
      </c>
      <c r="D277" s="277" t="str">
        <f>$D$5</f>
        <v>FTE June 2024</v>
      </c>
      <c r="E277" s="201">
        <f>'4002'!I$145</f>
        <v>-3192.83</v>
      </c>
      <c r="F277" s="342"/>
      <c r="G277" s="201">
        <f>SUBTOTAL(109,E277:F286)</f>
        <v>-3192.83</v>
      </c>
      <c r="H277" s="296"/>
    </row>
    <row r="278" spans="1:9" s="260" customFormat="1" ht="12.75" hidden="1" customHeight="1" x14ac:dyDescent="0.2">
      <c r="A278" s="199"/>
      <c r="B278" s="200"/>
      <c r="C278" s="220"/>
      <c r="D278" s="233" t="s">
        <v>279</v>
      </c>
      <c r="E278" s="201"/>
      <c r="F278" s="342"/>
      <c r="G278" s="201"/>
      <c r="H278" s="296"/>
    </row>
    <row r="279" spans="1:9" s="260" customFormat="1" ht="12.75" hidden="1" customHeight="1" x14ac:dyDescent="0.2">
      <c r="A279" s="199"/>
      <c r="B279" s="200"/>
      <c r="C279" s="220"/>
      <c r="D279" s="387" t="s">
        <v>498</v>
      </c>
      <c r="E279" s="201"/>
      <c r="F279" s="342"/>
      <c r="G279" s="201"/>
      <c r="H279" s="296"/>
    </row>
    <row r="280" spans="1:9" s="260" customFormat="1" ht="12.75" hidden="1" customHeight="1" x14ac:dyDescent="0.2">
      <c r="A280" s="199"/>
      <c r="B280" s="200"/>
      <c r="C280" s="220"/>
      <c r="D280" s="233" t="s">
        <v>281</v>
      </c>
      <c r="E280" s="201"/>
      <c r="F280" s="342"/>
      <c r="G280" s="201"/>
      <c r="H280" s="296"/>
      <c r="I280" s="196"/>
    </row>
    <row r="281" spans="1:9" s="260" customFormat="1" ht="12.75" hidden="1" customHeight="1" x14ac:dyDescent="0.2">
      <c r="A281" s="199"/>
      <c r="B281" s="200"/>
      <c r="C281" s="220"/>
      <c r="D281" s="233" t="s">
        <v>280</v>
      </c>
      <c r="E281" s="201"/>
      <c r="F281" s="342"/>
      <c r="G281" s="201"/>
      <c r="H281" s="296"/>
    </row>
    <row r="282" spans="1:9" s="260" customFormat="1" ht="12.75" hidden="1" customHeight="1" x14ac:dyDescent="0.2">
      <c r="A282" s="199"/>
      <c r="B282" s="200"/>
      <c r="C282" s="220"/>
      <c r="D282" s="233" t="s">
        <v>289</v>
      </c>
      <c r="E282" s="201"/>
      <c r="F282" s="342"/>
      <c r="G282" s="201"/>
      <c r="H282" s="296"/>
    </row>
    <row r="283" spans="1:9" s="260" customFormat="1" ht="12.75" hidden="1" customHeight="1" x14ac:dyDescent="0.2">
      <c r="A283" s="199"/>
      <c r="B283" s="200"/>
      <c r="C283" s="220"/>
      <c r="D283" s="233" t="s">
        <v>258</v>
      </c>
      <c r="E283" s="201"/>
      <c r="F283" s="342"/>
      <c r="G283" s="201"/>
      <c r="H283" s="296"/>
    </row>
    <row r="284" spans="1:9" s="260" customFormat="1" ht="12.75" hidden="1" customHeight="1" x14ac:dyDescent="0.2">
      <c r="A284" s="199"/>
      <c r="B284" s="200"/>
      <c r="C284" s="220"/>
      <c r="D284" s="233" t="s">
        <v>357</v>
      </c>
      <c r="E284" s="201"/>
      <c r="F284" s="342"/>
      <c r="G284" s="201"/>
      <c r="H284" s="259"/>
      <c r="I284" s="332"/>
    </row>
    <row r="285" spans="1:9" s="260" customFormat="1" ht="12.75" hidden="1" customHeight="1" x14ac:dyDescent="0.2">
      <c r="A285" s="199"/>
      <c r="B285" s="200"/>
      <c r="C285" s="220"/>
      <c r="D285" s="233" t="s">
        <v>358</v>
      </c>
      <c r="E285" s="201"/>
      <c r="F285" s="342"/>
      <c r="G285" s="201"/>
      <c r="H285" s="296"/>
      <c r="I285" s="332"/>
    </row>
    <row r="286" spans="1:9" s="260" customFormat="1" ht="12.75" hidden="1" customHeight="1" x14ac:dyDescent="0.2">
      <c r="A286" s="199"/>
      <c r="B286" s="200"/>
      <c r="C286" s="220"/>
      <c r="D286" s="233" t="s">
        <v>355</v>
      </c>
      <c r="E286" s="201"/>
      <c r="F286" s="342"/>
      <c r="G286" s="201"/>
      <c r="H286" s="296"/>
    </row>
    <row r="287" spans="1:9" s="260" customFormat="1" ht="12.75" customHeight="1" x14ac:dyDescent="0.2">
      <c r="A287" s="195">
        <f>A277+1</f>
        <v>30</v>
      </c>
      <c r="B287" s="196">
        <v>4012</v>
      </c>
      <c r="C287" s="219" t="s">
        <v>222</v>
      </c>
      <c r="D287" s="506" t="str">
        <f>$D$5</f>
        <v>FTE June 2024</v>
      </c>
      <c r="E287" s="198">
        <f>'4012'!I$145</f>
        <v>-1272.96</v>
      </c>
      <c r="F287" s="343"/>
      <c r="G287" s="198">
        <f>SUBTOTAL(109,E287:F294)</f>
        <v>-1272.96</v>
      </c>
      <c r="H287" s="296"/>
    </row>
    <row r="288" spans="1:9" s="260" customFormat="1" ht="12.75" hidden="1" customHeight="1" x14ac:dyDescent="0.2">
      <c r="A288" s="195"/>
      <c r="B288" s="196"/>
      <c r="C288" s="219"/>
      <c r="D288" s="232" t="s">
        <v>279</v>
      </c>
      <c r="E288" s="198"/>
      <c r="F288" s="343"/>
      <c r="G288" s="198"/>
      <c r="H288" s="296"/>
    </row>
    <row r="289" spans="1:9" s="260" customFormat="1" ht="12.75" hidden="1" customHeight="1" x14ac:dyDescent="0.2">
      <c r="A289" s="195"/>
      <c r="B289" s="196"/>
      <c r="C289" s="219"/>
      <c r="D289" s="232" t="s">
        <v>498</v>
      </c>
      <c r="E289" s="198"/>
      <c r="F289" s="343"/>
      <c r="G289" s="198"/>
      <c r="H289" s="296"/>
      <c r="I289" s="196"/>
    </row>
    <row r="290" spans="1:9" s="260" customFormat="1" ht="12.75" hidden="1" customHeight="1" x14ac:dyDescent="0.2">
      <c r="A290" s="195"/>
      <c r="B290" s="196"/>
      <c r="C290" s="219"/>
      <c r="D290" s="232" t="s">
        <v>354</v>
      </c>
      <c r="E290" s="198"/>
      <c r="F290" s="343"/>
      <c r="G290" s="198"/>
      <c r="H290" s="296"/>
    </row>
    <row r="291" spans="1:9" s="260" customFormat="1" ht="12.75" hidden="1" customHeight="1" x14ac:dyDescent="0.2">
      <c r="A291" s="195"/>
      <c r="B291" s="196"/>
      <c r="C291" s="219"/>
      <c r="D291" s="232" t="s">
        <v>289</v>
      </c>
      <c r="E291" s="198"/>
      <c r="F291" s="343"/>
      <c r="G291" s="198"/>
      <c r="H291" s="296"/>
    </row>
    <row r="292" spans="1:9" s="260" customFormat="1" ht="12.75" hidden="1" customHeight="1" x14ac:dyDescent="0.2">
      <c r="A292" s="195"/>
      <c r="B292" s="196"/>
      <c r="C292" s="219"/>
      <c r="D292" s="232" t="s">
        <v>258</v>
      </c>
      <c r="E292" s="198"/>
      <c r="F292" s="343"/>
      <c r="G292" s="198"/>
      <c r="H292" s="296"/>
    </row>
    <row r="293" spans="1:9" s="260" customFormat="1" ht="12.75" hidden="1" customHeight="1" x14ac:dyDescent="0.2">
      <c r="A293" s="195"/>
      <c r="B293" s="196"/>
      <c r="C293" s="219"/>
      <c r="D293" s="232" t="s">
        <v>303</v>
      </c>
      <c r="E293" s="198"/>
      <c r="F293" s="343"/>
      <c r="G293" s="198"/>
      <c r="H293" s="296"/>
    </row>
    <row r="294" spans="1:9" s="260" customFormat="1" ht="12.75" hidden="1" customHeight="1" x14ac:dyDescent="0.2">
      <c r="A294" s="195"/>
      <c r="B294" s="196"/>
      <c r="C294" s="219"/>
      <c r="D294" s="276" t="s">
        <v>345</v>
      </c>
      <c r="E294" s="198"/>
      <c r="F294" s="343"/>
      <c r="G294" s="198"/>
      <c r="H294" s="296"/>
      <c r="I294" s="334"/>
    </row>
    <row r="295" spans="1:9" s="260" customFormat="1" ht="12.75" customHeight="1" x14ac:dyDescent="0.2">
      <c r="A295" s="199">
        <f>A287+1</f>
        <v>31</v>
      </c>
      <c r="B295" s="200">
        <v>4013</v>
      </c>
      <c r="C295" s="220" t="s">
        <v>224</v>
      </c>
      <c r="D295" s="277" t="str">
        <f>$D$5</f>
        <v>FTE June 2024</v>
      </c>
      <c r="E295" s="201">
        <f>'4013'!I$145</f>
        <v>-8629.94</v>
      </c>
      <c r="F295" s="342"/>
      <c r="G295" s="201">
        <f>SUBTOTAL(109,E295:F303)</f>
        <v>-8629.94</v>
      </c>
      <c r="H295" s="296"/>
      <c r="I295" s="334"/>
    </row>
    <row r="296" spans="1:9" s="260" customFormat="1" ht="12.75" hidden="1" customHeight="1" x14ac:dyDescent="0.2">
      <c r="A296" s="199"/>
      <c r="B296" s="200"/>
      <c r="C296" s="220"/>
      <c r="D296" s="233" t="s">
        <v>279</v>
      </c>
      <c r="E296" s="201"/>
      <c r="F296" s="342"/>
      <c r="G296" s="201"/>
      <c r="H296" s="296"/>
    </row>
    <row r="297" spans="1:9" s="260" customFormat="1" ht="12.75" hidden="1" customHeight="1" x14ac:dyDescent="0.2">
      <c r="A297" s="199"/>
      <c r="B297" s="200"/>
      <c r="C297" s="220"/>
      <c r="D297" s="387" t="s">
        <v>498</v>
      </c>
      <c r="E297" s="201"/>
      <c r="F297" s="342"/>
      <c r="G297" s="201"/>
      <c r="H297" s="296"/>
    </row>
    <row r="298" spans="1:9" s="260" customFormat="1" ht="12.75" hidden="1" customHeight="1" x14ac:dyDescent="0.2">
      <c r="A298" s="199"/>
      <c r="B298" s="200"/>
      <c r="C298" s="220"/>
      <c r="D298" s="233" t="s">
        <v>281</v>
      </c>
      <c r="E298" s="201"/>
      <c r="F298" s="342"/>
      <c r="G298" s="201"/>
      <c r="H298" s="296"/>
    </row>
    <row r="299" spans="1:9" s="260" customFormat="1" ht="12.75" hidden="1" customHeight="1" x14ac:dyDescent="0.2">
      <c r="A299" s="199"/>
      <c r="B299" s="200"/>
      <c r="C299" s="220"/>
      <c r="D299" s="233" t="s">
        <v>354</v>
      </c>
      <c r="E299" s="201"/>
      <c r="F299" s="342"/>
      <c r="G299" s="201"/>
      <c r="H299" s="296"/>
    </row>
    <row r="300" spans="1:9" s="260" customFormat="1" ht="12.75" hidden="1" customHeight="1" x14ac:dyDescent="0.2">
      <c r="A300" s="199"/>
      <c r="B300" s="200"/>
      <c r="C300" s="220"/>
      <c r="D300" s="233" t="s">
        <v>289</v>
      </c>
      <c r="E300" s="201"/>
      <c r="F300" s="342"/>
      <c r="G300" s="201"/>
      <c r="H300" s="296"/>
    </row>
    <row r="301" spans="1:9" s="260" customFormat="1" ht="12.75" hidden="1" customHeight="1" x14ac:dyDescent="0.2">
      <c r="A301" s="199"/>
      <c r="B301" s="200"/>
      <c r="C301" s="220"/>
      <c r="D301" s="233" t="s">
        <v>258</v>
      </c>
      <c r="E301" s="201"/>
      <c r="F301" s="342"/>
      <c r="G301" s="201"/>
      <c r="H301" s="296"/>
    </row>
    <row r="302" spans="1:9" s="260" customFormat="1" ht="12.75" hidden="1" customHeight="1" x14ac:dyDescent="0.2">
      <c r="A302" s="199"/>
      <c r="B302" s="200"/>
      <c r="C302" s="220"/>
      <c r="D302" s="233" t="s">
        <v>358</v>
      </c>
      <c r="E302" s="201"/>
      <c r="F302" s="342"/>
      <c r="G302" s="201"/>
      <c r="H302" s="259"/>
      <c r="I302" s="332"/>
    </row>
    <row r="303" spans="1:9" s="260" customFormat="1" ht="12.75" hidden="1" customHeight="1" x14ac:dyDescent="0.2">
      <c r="A303" s="199"/>
      <c r="B303" s="200"/>
      <c r="C303" s="220"/>
      <c r="D303" s="233" t="s">
        <v>345</v>
      </c>
      <c r="E303" s="201"/>
      <c r="F303" s="342"/>
      <c r="G303" s="201"/>
      <c r="H303" s="296"/>
      <c r="I303" s="306"/>
    </row>
    <row r="304" spans="1:9" s="260" customFormat="1" ht="12.75" customHeight="1" x14ac:dyDescent="0.2">
      <c r="A304" s="195">
        <f>A295+1</f>
        <v>32</v>
      </c>
      <c r="B304" s="196">
        <v>4020</v>
      </c>
      <c r="C304" s="261" t="s">
        <v>347</v>
      </c>
      <c r="D304" s="506" t="str">
        <f>$D$5</f>
        <v>FTE June 2024</v>
      </c>
      <c r="E304" s="198">
        <f>'4020'!I$145</f>
        <v>-5764.24</v>
      </c>
      <c r="F304" s="343"/>
      <c r="G304" s="198">
        <f>SUBTOTAL(109,E304:F312)</f>
        <v>-5764.24</v>
      </c>
      <c r="H304" s="296"/>
      <c r="I304" s="306"/>
    </row>
    <row r="305" spans="1:9" s="260" customFormat="1" ht="12.75" hidden="1" customHeight="1" x14ac:dyDescent="0.2">
      <c r="A305" s="195"/>
      <c r="B305" s="196"/>
      <c r="C305" s="219"/>
      <c r="D305" s="232" t="s">
        <v>279</v>
      </c>
      <c r="E305" s="198"/>
      <c r="F305" s="343"/>
      <c r="G305" s="198"/>
      <c r="H305" s="296"/>
    </row>
    <row r="306" spans="1:9" s="260" customFormat="1" ht="12.75" hidden="1" customHeight="1" x14ac:dyDescent="0.2">
      <c r="A306" s="195"/>
      <c r="B306" s="196"/>
      <c r="C306" s="219"/>
      <c r="D306" s="350" t="s">
        <v>498</v>
      </c>
      <c r="E306" s="198"/>
      <c r="F306" s="343"/>
      <c r="G306" s="198"/>
      <c r="H306" s="296"/>
    </row>
    <row r="307" spans="1:9" s="260" customFormat="1" ht="12.75" hidden="1" customHeight="1" x14ac:dyDescent="0.2">
      <c r="A307" s="195"/>
      <c r="B307" s="196"/>
      <c r="C307" s="219"/>
      <c r="D307" s="232" t="s">
        <v>281</v>
      </c>
      <c r="E307" s="198"/>
      <c r="F307" s="343"/>
      <c r="G307" s="198"/>
      <c r="H307" s="296"/>
      <c r="I307" s="196"/>
    </row>
    <row r="308" spans="1:9" s="260" customFormat="1" ht="12.75" hidden="1" customHeight="1" x14ac:dyDescent="0.2">
      <c r="A308" s="195"/>
      <c r="B308" s="196"/>
      <c r="C308" s="219"/>
      <c r="D308" s="232" t="s">
        <v>354</v>
      </c>
      <c r="E308" s="198"/>
      <c r="F308" s="343"/>
      <c r="G308" s="198"/>
      <c r="H308" s="296"/>
    </row>
    <row r="309" spans="1:9" s="260" customFormat="1" ht="12.75" hidden="1" customHeight="1" x14ac:dyDescent="0.2">
      <c r="A309" s="195"/>
      <c r="B309" s="196"/>
      <c r="C309" s="219"/>
      <c r="D309" s="232" t="s">
        <v>289</v>
      </c>
      <c r="E309" s="198"/>
      <c r="F309" s="343"/>
      <c r="G309" s="198"/>
      <c r="H309" s="296"/>
    </row>
    <row r="310" spans="1:9" s="260" customFormat="1" ht="12.75" hidden="1" customHeight="1" x14ac:dyDescent="0.2">
      <c r="A310" s="195"/>
      <c r="B310" s="196"/>
      <c r="C310" s="219"/>
      <c r="D310" s="232" t="s">
        <v>258</v>
      </c>
      <c r="E310" s="198"/>
      <c r="F310" s="343"/>
      <c r="G310" s="198"/>
      <c r="H310" s="296"/>
    </row>
    <row r="311" spans="1:9" s="260" customFormat="1" ht="12.75" hidden="1" customHeight="1" x14ac:dyDescent="0.2">
      <c r="A311" s="195"/>
      <c r="B311" s="196"/>
      <c r="C311" s="219"/>
      <c r="D311" s="232" t="s">
        <v>357</v>
      </c>
      <c r="E311" s="198"/>
      <c r="F311" s="343"/>
      <c r="G311" s="198"/>
      <c r="H311" s="296"/>
    </row>
    <row r="312" spans="1:9" s="260" customFormat="1" ht="12.75" hidden="1" customHeight="1" x14ac:dyDescent="0.2">
      <c r="A312" s="195"/>
      <c r="B312" s="196"/>
      <c r="C312" s="219"/>
      <c r="D312" s="276" t="s">
        <v>345</v>
      </c>
      <c r="E312" s="198"/>
      <c r="F312" s="343"/>
      <c r="G312" s="198"/>
      <c r="H312" s="296"/>
      <c r="I312" s="334"/>
    </row>
    <row r="313" spans="1:9" s="260" customFormat="1" ht="12.75" customHeight="1" x14ac:dyDescent="0.2">
      <c r="A313" s="199">
        <f>A304+1</f>
        <v>33</v>
      </c>
      <c r="B313" s="200">
        <v>4030</v>
      </c>
      <c r="C313" s="220" t="s">
        <v>335</v>
      </c>
      <c r="D313" s="277" t="str">
        <f>$D$5</f>
        <v>FTE June 2024</v>
      </c>
      <c r="E313" s="201">
        <f>'4030'!I$145</f>
        <v>42823.69</v>
      </c>
      <c r="F313" s="342"/>
      <c r="G313" s="201">
        <f>SUBTOTAL(109,E313:F322)</f>
        <v>42823.69</v>
      </c>
      <c r="H313" s="296"/>
    </row>
    <row r="314" spans="1:9" s="260" customFormat="1" ht="12.75" hidden="1" customHeight="1" x14ac:dyDescent="0.2">
      <c r="A314" s="199"/>
      <c r="B314" s="200"/>
      <c r="C314" s="220"/>
      <c r="D314" s="233" t="s">
        <v>279</v>
      </c>
      <c r="E314" s="201"/>
      <c r="F314" s="342"/>
      <c r="G314" s="201"/>
      <c r="H314" s="296"/>
    </row>
    <row r="315" spans="1:9" s="260" customFormat="1" ht="12.75" hidden="1" customHeight="1" x14ac:dyDescent="0.2">
      <c r="A315" s="199"/>
      <c r="B315" s="200"/>
      <c r="C315" s="220"/>
      <c r="D315" s="387" t="s">
        <v>498</v>
      </c>
      <c r="E315" s="201"/>
      <c r="F315" s="342"/>
      <c r="G315" s="201"/>
      <c r="H315" s="296"/>
    </row>
    <row r="316" spans="1:9" s="260" customFormat="1" ht="12.75" hidden="1" customHeight="1" x14ac:dyDescent="0.2">
      <c r="A316" s="199"/>
      <c r="B316" s="200"/>
      <c r="C316" s="220"/>
      <c r="D316" s="387" t="s">
        <v>361</v>
      </c>
      <c r="E316" s="201"/>
      <c r="F316" s="342"/>
      <c r="G316" s="201"/>
      <c r="H316" s="296"/>
      <c r="I316" s="196"/>
    </row>
    <row r="317" spans="1:9" s="260" customFormat="1" ht="12.75" hidden="1" customHeight="1" x14ac:dyDescent="0.2">
      <c r="A317" s="199"/>
      <c r="B317" s="200"/>
      <c r="C317" s="220"/>
      <c r="D317" s="233" t="s">
        <v>281</v>
      </c>
      <c r="E317" s="201"/>
      <c r="F317" s="342"/>
      <c r="G317" s="201"/>
      <c r="H317" s="296"/>
    </row>
    <row r="318" spans="1:9" s="260" customFormat="1" ht="12.75" hidden="1" customHeight="1" x14ac:dyDescent="0.2">
      <c r="A318" s="199"/>
      <c r="B318" s="200"/>
      <c r="C318" s="220"/>
      <c r="D318" s="233" t="s">
        <v>280</v>
      </c>
      <c r="E318" s="201"/>
      <c r="F318" s="342"/>
      <c r="G318" s="201"/>
      <c r="H318" s="296"/>
    </row>
    <row r="319" spans="1:9" s="260" customFormat="1" ht="12.75" hidden="1" customHeight="1" x14ac:dyDescent="0.2">
      <c r="A319" s="199"/>
      <c r="B319" s="200"/>
      <c r="C319" s="220"/>
      <c r="D319" s="233" t="s">
        <v>289</v>
      </c>
      <c r="E319" s="201"/>
      <c r="F319" s="342"/>
      <c r="G319" s="201"/>
      <c r="H319" s="296"/>
    </row>
    <row r="320" spans="1:9" s="260" customFormat="1" ht="12.75" hidden="1" customHeight="1" x14ac:dyDescent="0.2">
      <c r="A320" s="199"/>
      <c r="B320" s="200"/>
      <c r="C320" s="220"/>
      <c r="D320" s="233" t="s">
        <v>258</v>
      </c>
      <c r="E320" s="201"/>
      <c r="F320" s="342"/>
      <c r="G320" s="201"/>
      <c r="H320" s="259"/>
      <c r="I320" s="332"/>
    </row>
    <row r="321" spans="1:9" s="260" customFormat="1" ht="12.75" hidden="1" customHeight="1" x14ac:dyDescent="0.2">
      <c r="A321" s="199"/>
      <c r="B321" s="200"/>
      <c r="C321" s="220"/>
      <c r="D321" s="233" t="s">
        <v>358</v>
      </c>
      <c r="E321" s="201"/>
      <c r="F321" s="342"/>
      <c r="G321" s="201"/>
      <c r="H321" s="296"/>
      <c r="I321" s="334"/>
    </row>
    <row r="322" spans="1:9" s="260" customFormat="1" ht="12.75" hidden="1" customHeight="1" x14ac:dyDescent="0.2">
      <c r="A322" s="199"/>
      <c r="B322" s="200"/>
      <c r="C322" s="220"/>
      <c r="D322" s="233" t="s">
        <v>345</v>
      </c>
      <c r="E322" s="201"/>
      <c r="F322" s="342"/>
      <c r="G322" s="201"/>
      <c r="H322" s="296"/>
    </row>
    <row r="323" spans="1:9" s="260" customFormat="1" ht="12.75" customHeight="1" x14ac:dyDescent="0.2">
      <c r="A323" s="195">
        <f>A313+1</f>
        <v>34</v>
      </c>
      <c r="B323" s="196">
        <v>4031</v>
      </c>
      <c r="C323" s="261" t="s">
        <v>352</v>
      </c>
      <c r="D323" s="506" t="str">
        <f>$D$5</f>
        <v>FTE June 2024</v>
      </c>
      <c r="E323" s="198">
        <f>'4031'!I$145</f>
        <v>2133.02</v>
      </c>
      <c r="F323" s="343"/>
      <c r="G323" s="198">
        <f>SUBTOTAL(109,E323:F332)</f>
        <v>2133.02</v>
      </c>
      <c r="H323" s="296"/>
    </row>
    <row r="324" spans="1:9" s="260" customFormat="1" ht="12.75" hidden="1" customHeight="1" x14ac:dyDescent="0.2">
      <c r="A324" s="195"/>
      <c r="B324" s="196"/>
      <c r="C324" s="219"/>
      <c r="D324" s="232" t="s">
        <v>279</v>
      </c>
      <c r="E324" s="198"/>
      <c r="F324" s="343"/>
      <c r="G324" s="198"/>
      <c r="H324" s="296"/>
    </row>
    <row r="325" spans="1:9" s="260" customFormat="1" ht="12.75" hidden="1" customHeight="1" x14ac:dyDescent="0.2">
      <c r="A325" s="195"/>
      <c r="B325" s="196"/>
      <c r="C325" s="219"/>
      <c r="D325" s="350" t="s">
        <v>498</v>
      </c>
      <c r="E325" s="198"/>
      <c r="F325" s="343"/>
      <c r="G325" s="198"/>
      <c r="H325" s="296"/>
      <c r="I325" s="196"/>
    </row>
    <row r="326" spans="1:9" s="260" customFormat="1" ht="12.75" hidden="1" customHeight="1" x14ac:dyDescent="0.2">
      <c r="A326" s="195"/>
      <c r="B326" s="196"/>
      <c r="C326" s="219"/>
      <c r="D326" s="350" t="s">
        <v>361</v>
      </c>
      <c r="E326" s="198"/>
      <c r="F326" s="343"/>
      <c r="G326" s="198"/>
      <c r="H326" s="296"/>
      <c r="I326" s="196"/>
    </row>
    <row r="327" spans="1:9" s="260" customFormat="1" ht="12.75" hidden="1" customHeight="1" x14ac:dyDescent="0.2">
      <c r="A327" s="195"/>
      <c r="B327" s="196"/>
      <c r="C327" s="219"/>
      <c r="D327" s="232" t="s">
        <v>281</v>
      </c>
      <c r="E327" s="198"/>
      <c r="F327" s="343"/>
      <c r="G327" s="198"/>
      <c r="H327" s="296"/>
    </row>
    <row r="328" spans="1:9" s="260" customFormat="1" ht="12.75" hidden="1" customHeight="1" x14ac:dyDescent="0.2">
      <c r="A328" s="195"/>
      <c r="B328" s="196"/>
      <c r="C328" s="219"/>
      <c r="D328" s="232" t="s">
        <v>280</v>
      </c>
      <c r="E328" s="198"/>
      <c r="F328" s="343"/>
      <c r="G328" s="198"/>
      <c r="H328" s="296"/>
    </row>
    <row r="329" spans="1:9" s="260" customFormat="1" ht="12.75" hidden="1" customHeight="1" x14ac:dyDescent="0.2">
      <c r="A329" s="195"/>
      <c r="B329" s="196"/>
      <c r="C329" s="219"/>
      <c r="D329" s="232" t="s">
        <v>289</v>
      </c>
      <c r="E329" s="198"/>
      <c r="F329" s="343"/>
      <c r="G329" s="198"/>
      <c r="H329" s="296"/>
    </row>
    <row r="330" spans="1:9" s="260" customFormat="1" ht="12.75" hidden="1" customHeight="1" x14ac:dyDescent="0.2">
      <c r="A330" s="195"/>
      <c r="B330" s="196"/>
      <c r="C330" s="219"/>
      <c r="D330" s="232" t="s">
        <v>258</v>
      </c>
      <c r="E330" s="198"/>
      <c r="F330" s="343"/>
      <c r="G330" s="198"/>
      <c r="H330" s="296"/>
    </row>
    <row r="331" spans="1:9" s="260" customFormat="1" ht="12.75" hidden="1" customHeight="1" x14ac:dyDescent="0.2">
      <c r="A331" s="195"/>
      <c r="B331" s="196"/>
      <c r="C331" s="219"/>
      <c r="D331" s="232" t="s">
        <v>358</v>
      </c>
      <c r="E331" s="198"/>
      <c r="F331" s="343"/>
      <c r="G331" s="198"/>
      <c r="H331" s="296"/>
      <c r="I331" s="334"/>
    </row>
    <row r="332" spans="1:9" s="260" customFormat="1" ht="12.75" hidden="1" customHeight="1" x14ac:dyDescent="0.2">
      <c r="A332" s="195"/>
      <c r="B332" s="196"/>
      <c r="C332" s="219"/>
      <c r="D332" s="276" t="s">
        <v>345</v>
      </c>
      <c r="E332" s="198"/>
      <c r="F332" s="343"/>
      <c r="G332" s="198"/>
      <c r="H332" s="296"/>
    </row>
    <row r="333" spans="1:9" s="260" customFormat="1" ht="12.75" customHeight="1" x14ac:dyDescent="0.2">
      <c r="A333" s="199">
        <f>A323+1</f>
        <v>35</v>
      </c>
      <c r="B333" s="200">
        <v>4041</v>
      </c>
      <c r="C333" s="220" t="s">
        <v>226</v>
      </c>
      <c r="D333" s="277" t="str">
        <f>$D$5</f>
        <v>FTE June 2024</v>
      </c>
      <c r="E333" s="201">
        <f>'4041'!I$145</f>
        <v>-3278.21</v>
      </c>
      <c r="F333" s="342"/>
      <c r="G333" s="201">
        <f>SUBTOTAL(109,E333:F343)</f>
        <v>-3278.21</v>
      </c>
      <c r="H333" s="296"/>
    </row>
    <row r="334" spans="1:9" s="260" customFormat="1" ht="12.75" hidden="1" customHeight="1" x14ac:dyDescent="0.2">
      <c r="A334" s="199"/>
      <c r="B334" s="200"/>
      <c r="C334" s="220"/>
      <c r="D334" s="233" t="s">
        <v>279</v>
      </c>
      <c r="E334" s="201"/>
      <c r="F334" s="342"/>
      <c r="G334" s="201"/>
      <c r="H334" s="296"/>
    </row>
    <row r="335" spans="1:9" s="260" customFormat="1" ht="12.75" hidden="1" customHeight="1" x14ac:dyDescent="0.2">
      <c r="A335" s="199"/>
      <c r="B335" s="200"/>
      <c r="C335" s="220"/>
      <c r="D335" s="387" t="s">
        <v>498</v>
      </c>
      <c r="E335" s="201"/>
      <c r="F335" s="342"/>
      <c r="G335" s="201"/>
      <c r="H335" s="296"/>
      <c r="I335" s="196"/>
    </row>
    <row r="336" spans="1:9" s="260" customFormat="1" ht="12.75" hidden="1" customHeight="1" x14ac:dyDescent="0.2">
      <c r="A336" s="199"/>
      <c r="B336" s="200"/>
      <c r="C336" s="220"/>
      <c r="D336" s="387" t="s">
        <v>361</v>
      </c>
      <c r="E336" s="201"/>
      <c r="F336" s="342"/>
      <c r="G336" s="201"/>
      <c r="H336" s="296"/>
      <c r="I336" s="196"/>
    </row>
    <row r="337" spans="1:9" s="260" customFormat="1" ht="12.75" hidden="1" customHeight="1" x14ac:dyDescent="0.2">
      <c r="A337" s="199"/>
      <c r="B337" s="200"/>
      <c r="C337" s="220"/>
      <c r="D337" s="233" t="s">
        <v>281</v>
      </c>
      <c r="E337" s="201"/>
      <c r="F337" s="342"/>
      <c r="G337" s="201"/>
      <c r="H337" s="296"/>
    </row>
    <row r="338" spans="1:9" s="260" customFormat="1" ht="12.75" hidden="1" customHeight="1" x14ac:dyDescent="0.2">
      <c r="A338" s="199"/>
      <c r="B338" s="200"/>
      <c r="C338" s="220"/>
      <c r="D338" s="233" t="s">
        <v>280</v>
      </c>
      <c r="E338" s="201"/>
      <c r="F338" s="342"/>
      <c r="G338" s="201"/>
      <c r="H338" s="296"/>
    </row>
    <row r="339" spans="1:9" s="260" customFormat="1" ht="12.75" hidden="1" customHeight="1" x14ac:dyDescent="0.2">
      <c r="A339" s="199"/>
      <c r="B339" s="200"/>
      <c r="C339" s="220"/>
      <c r="D339" s="233" t="s">
        <v>289</v>
      </c>
      <c r="E339" s="201"/>
      <c r="F339" s="342"/>
      <c r="G339" s="201"/>
      <c r="H339" s="296"/>
      <c r="I339" s="196"/>
    </row>
    <row r="340" spans="1:9" s="260" customFormat="1" ht="12.75" hidden="1" customHeight="1" x14ac:dyDescent="0.2">
      <c r="A340" s="199"/>
      <c r="B340" s="200"/>
      <c r="C340" s="220"/>
      <c r="D340" s="233" t="s">
        <v>258</v>
      </c>
      <c r="E340" s="201"/>
      <c r="F340" s="342"/>
      <c r="G340" s="201"/>
      <c r="H340" s="296"/>
      <c r="I340" s="332"/>
    </row>
    <row r="341" spans="1:9" s="260" customFormat="1" ht="12.75" hidden="1" customHeight="1" x14ac:dyDescent="0.2">
      <c r="A341" s="199"/>
      <c r="B341" s="200"/>
      <c r="C341" s="220"/>
      <c r="D341" s="233" t="s">
        <v>303</v>
      </c>
      <c r="E341" s="201"/>
      <c r="F341" s="342"/>
      <c r="G341" s="201"/>
      <c r="H341" s="296"/>
      <c r="I341" s="334"/>
    </row>
    <row r="342" spans="1:9" s="260" customFormat="1" ht="12.75" hidden="1" customHeight="1" x14ac:dyDescent="0.2">
      <c r="A342" s="199"/>
      <c r="B342" s="200"/>
      <c r="C342" s="220"/>
      <c r="D342" s="233" t="s">
        <v>358</v>
      </c>
      <c r="E342" s="201"/>
      <c r="F342" s="342"/>
      <c r="G342" s="201"/>
      <c r="H342" s="296"/>
    </row>
    <row r="343" spans="1:9" s="260" customFormat="1" ht="12.75" hidden="1" customHeight="1" x14ac:dyDescent="0.2">
      <c r="A343" s="199"/>
      <c r="B343" s="200"/>
      <c r="C343" s="220"/>
      <c r="D343" s="233" t="s">
        <v>345</v>
      </c>
      <c r="E343" s="201"/>
      <c r="F343" s="342"/>
      <c r="G343" s="201"/>
      <c r="H343" s="296"/>
    </row>
    <row r="344" spans="1:9" s="260" customFormat="1" ht="12.75" customHeight="1" x14ac:dyDescent="0.2">
      <c r="A344" s="195">
        <f>A333+1</f>
        <v>36</v>
      </c>
      <c r="B344" s="263">
        <v>4050</v>
      </c>
      <c r="C344" s="264" t="s">
        <v>217</v>
      </c>
      <c r="D344" s="506" t="str">
        <f>$D$5</f>
        <v>FTE June 2024</v>
      </c>
      <c r="E344" s="198">
        <f>'4050'!I$145</f>
        <v>-17968.560000000001</v>
      </c>
      <c r="F344" s="343"/>
      <c r="G344" s="198">
        <f>SUBTOTAL(109,E344:F350)</f>
        <v>-17968.560000000001</v>
      </c>
      <c r="H344" s="296"/>
    </row>
    <row r="345" spans="1:9" s="260" customFormat="1" ht="12.75" hidden="1" customHeight="1" x14ac:dyDescent="0.2">
      <c r="A345" s="195"/>
      <c r="B345" s="263"/>
      <c r="C345" s="264"/>
      <c r="D345" s="232" t="s">
        <v>279</v>
      </c>
      <c r="E345" s="198"/>
      <c r="F345" s="343"/>
      <c r="G345" s="198"/>
      <c r="H345" s="296"/>
      <c r="I345" s="196"/>
    </row>
    <row r="346" spans="1:9" s="260" customFormat="1" ht="12.75" hidden="1" customHeight="1" x14ac:dyDescent="0.2">
      <c r="A346" s="195"/>
      <c r="B346" s="263"/>
      <c r="C346" s="264"/>
      <c r="D346" s="232" t="s">
        <v>498</v>
      </c>
      <c r="E346" s="198"/>
      <c r="F346" s="343"/>
      <c r="G346" s="198"/>
      <c r="H346" s="296"/>
      <c r="I346" s="196"/>
    </row>
    <row r="347" spans="1:9" s="260" customFormat="1" ht="12.75" hidden="1" customHeight="1" x14ac:dyDescent="0.2">
      <c r="A347" s="195"/>
      <c r="B347" s="196"/>
      <c r="C347" s="219"/>
      <c r="D347" s="232" t="s">
        <v>280</v>
      </c>
      <c r="E347" s="198"/>
      <c r="F347" s="343"/>
      <c r="G347" s="198"/>
      <c r="H347" s="296"/>
    </row>
    <row r="348" spans="1:9" s="260" customFormat="1" ht="12.75" hidden="1" customHeight="1" x14ac:dyDescent="0.2">
      <c r="A348" s="195"/>
      <c r="B348" s="196"/>
      <c r="C348" s="219"/>
      <c r="D348" s="232" t="s">
        <v>289</v>
      </c>
      <c r="E348" s="198"/>
      <c r="F348" s="343"/>
      <c r="G348" s="198"/>
      <c r="H348" s="296"/>
    </row>
    <row r="349" spans="1:9" s="260" customFormat="1" ht="12.75" hidden="1" customHeight="1" x14ac:dyDescent="0.2">
      <c r="A349" s="195"/>
      <c r="B349" s="196"/>
      <c r="C349" s="219"/>
      <c r="D349" s="232" t="s">
        <v>258</v>
      </c>
      <c r="E349" s="198"/>
      <c r="F349" s="343"/>
      <c r="G349" s="198"/>
      <c r="H349" s="296"/>
    </row>
    <row r="350" spans="1:9" s="260" customFormat="1" ht="12.75" hidden="1" customHeight="1" x14ac:dyDescent="0.2">
      <c r="A350" s="195"/>
      <c r="B350" s="196"/>
      <c r="C350" s="219"/>
      <c r="D350" s="276" t="s">
        <v>345</v>
      </c>
      <c r="E350" s="198"/>
      <c r="F350" s="343"/>
      <c r="G350" s="198"/>
      <c r="H350" s="296"/>
    </row>
    <row r="351" spans="1:9" s="260" customFormat="1" ht="12.75" customHeight="1" x14ac:dyDescent="0.2">
      <c r="A351" s="199">
        <f>A344+1</f>
        <v>37</v>
      </c>
      <c r="B351" s="200">
        <v>4051</v>
      </c>
      <c r="C351" s="220" t="s">
        <v>215</v>
      </c>
      <c r="D351" s="277" t="str">
        <f>$D$5</f>
        <v>FTE June 2024</v>
      </c>
      <c r="E351" s="201">
        <f>'4051'!I$145</f>
        <v>11751.46</v>
      </c>
      <c r="F351" s="342"/>
      <c r="G351" s="201">
        <f>SUBTOTAL(109,E351:F359)</f>
        <v>11751.46</v>
      </c>
      <c r="H351" s="296"/>
    </row>
    <row r="352" spans="1:9" s="260" customFormat="1" ht="12.75" hidden="1" customHeight="1" x14ac:dyDescent="0.2">
      <c r="A352" s="199"/>
      <c r="B352" s="200"/>
      <c r="C352" s="220"/>
      <c r="D352" s="233" t="s">
        <v>279</v>
      </c>
      <c r="E352" s="201"/>
      <c r="F352" s="342"/>
      <c r="G352" s="201"/>
      <c r="H352" s="296"/>
      <c r="I352" s="334"/>
    </row>
    <row r="353" spans="1:9" s="260" customFormat="1" ht="12.75" hidden="1" customHeight="1" x14ac:dyDescent="0.2">
      <c r="A353" s="199"/>
      <c r="B353" s="200"/>
      <c r="C353" s="220"/>
      <c r="D353" s="233" t="s">
        <v>498</v>
      </c>
      <c r="E353" s="201"/>
      <c r="F353" s="342"/>
      <c r="G353" s="201"/>
      <c r="H353" s="296"/>
    </row>
    <row r="354" spans="1:9" s="260" customFormat="1" ht="12.75" hidden="1" customHeight="1" x14ac:dyDescent="0.2">
      <c r="A354" s="199"/>
      <c r="B354" s="200"/>
      <c r="C354" s="220"/>
      <c r="D354" s="233" t="s">
        <v>280</v>
      </c>
      <c r="E354" s="201"/>
      <c r="F354" s="342"/>
      <c r="G354" s="201"/>
      <c r="H354" s="296"/>
    </row>
    <row r="355" spans="1:9" s="260" customFormat="1" ht="12.75" hidden="1" customHeight="1" x14ac:dyDescent="0.2">
      <c r="A355" s="199"/>
      <c r="B355" s="200"/>
      <c r="C355" s="220"/>
      <c r="D355" s="233" t="s">
        <v>289</v>
      </c>
      <c r="E355" s="201"/>
      <c r="F355" s="342"/>
      <c r="G355" s="201"/>
      <c r="H355" s="296"/>
    </row>
    <row r="356" spans="1:9" s="260" customFormat="1" ht="12.75" hidden="1" customHeight="1" x14ac:dyDescent="0.2">
      <c r="A356" s="199"/>
      <c r="B356" s="200"/>
      <c r="C356" s="220"/>
      <c r="D356" s="233" t="s">
        <v>258</v>
      </c>
      <c r="E356" s="201"/>
      <c r="F356" s="342"/>
      <c r="G356" s="201"/>
      <c r="H356" s="296"/>
    </row>
    <row r="357" spans="1:9" s="260" customFormat="1" ht="12.75" hidden="1" customHeight="1" x14ac:dyDescent="0.2">
      <c r="A357" s="199"/>
      <c r="B357" s="200"/>
      <c r="C357" s="220"/>
      <c r="D357" s="233" t="s">
        <v>303</v>
      </c>
      <c r="E357" s="201"/>
      <c r="F357" s="342"/>
      <c r="G357" s="201"/>
      <c r="H357" s="296"/>
    </row>
    <row r="358" spans="1:9" s="260" customFormat="1" ht="12.75" hidden="1" customHeight="1" x14ac:dyDescent="0.2">
      <c r="A358" s="199"/>
      <c r="B358" s="200"/>
      <c r="C358" s="220"/>
      <c r="D358" s="233" t="s">
        <v>357</v>
      </c>
      <c r="E358" s="201"/>
      <c r="F358" s="342"/>
      <c r="G358" s="201"/>
      <c r="H358" s="296"/>
    </row>
    <row r="359" spans="1:9" s="260" customFormat="1" ht="12.75" hidden="1" customHeight="1" x14ac:dyDescent="0.2">
      <c r="A359" s="199"/>
      <c r="B359" s="200"/>
      <c r="C359" s="220"/>
      <c r="D359" s="233" t="s">
        <v>543</v>
      </c>
      <c r="E359" s="201"/>
      <c r="F359" s="342"/>
      <c r="G359" s="201"/>
      <c r="H359" s="296"/>
      <c r="I359" s="332"/>
    </row>
    <row r="360" spans="1:9" s="260" customFormat="1" ht="12.75" customHeight="1" x14ac:dyDescent="0.2">
      <c r="A360" s="195">
        <f>A351+1</f>
        <v>38</v>
      </c>
      <c r="B360" s="263">
        <v>4061</v>
      </c>
      <c r="C360" s="265" t="s">
        <v>349</v>
      </c>
      <c r="D360" s="506" t="str">
        <f>$D$5</f>
        <v>FTE June 2024</v>
      </c>
      <c r="E360" s="198">
        <f>'4061'!I$145</f>
        <v>-4518.13</v>
      </c>
      <c r="F360" s="343"/>
      <c r="G360" s="198">
        <f>SUBTOTAL(109,E360:F368)</f>
        <v>-4518.13</v>
      </c>
      <c r="H360" s="296"/>
    </row>
    <row r="361" spans="1:9" s="260" customFormat="1" ht="12.75" hidden="1" customHeight="1" x14ac:dyDescent="0.2">
      <c r="A361" s="195"/>
      <c r="B361" s="263"/>
      <c r="C361" s="264"/>
      <c r="D361" s="232" t="s">
        <v>279</v>
      </c>
      <c r="E361" s="198"/>
      <c r="F361" s="343"/>
      <c r="G361" s="198"/>
      <c r="H361" s="296"/>
    </row>
    <row r="362" spans="1:9" s="260" customFormat="1" ht="12.75" hidden="1" customHeight="1" x14ac:dyDescent="0.2">
      <c r="A362" s="195"/>
      <c r="B362" s="196"/>
      <c r="C362" s="219"/>
      <c r="D362" s="350" t="s">
        <v>498</v>
      </c>
      <c r="E362" s="198"/>
      <c r="F362" s="343"/>
      <c r="G362" s="198"/>
      <c r="H362" s="296"/>
    </row>
    <row r="363" spans="1:9" s="260" customFormat="1" ht="12.75" hidden="1" customHeight="1" x14ac:dyDescent="0.2">
      <c r="A363" s="195"/>
      <c r="B363" s="263"/>
      <c r="C363" s="264"/>
      <c r="D363" s="232" t="s">
        <v>279</v>
      </c>
      <c r="E363" s="198"/>
      <c r="F363" s="343"/>
      <c r="G363" s="198"/>
      <c r="H363" s="296"/>
    </row>
    <row r="364" spans="1:9" s="260" customFormat="1" ht="12.75" hidden="1" customHeight="1" x14ac:dyDescent="0.2">
      <c r="A364" s="195"/>
      <c r="B364" s="263"/>
      <c r="C364" s="264"/>
      <c r="D364" s="232" t="s">
        <v>281</v>
      </c>
      <c r="E364" s="198"/>
      <c r="F364" s="343"/>
      <c r="G364" s="198"/>
      <c r="H364" s="296"/>
    </row>
    <row r="365" spans="1:9" s="260" customFormat="1" ht="12.75" hidden="1" customHeight="1" x14ac:dyDescent="0.2">
      <c r="A365" s="195"/>
      <c r="B365" s="196"/>
      <c r="C365" s="219"/>
      <c r="D365" s="232" t="s">
        <v>280</v>
      </c>
      <c r="E365" s="198"/>
      <c r="F365" s="343"/>
      <c r="G365" s="198"/>
      <c r="H365" s="296"/>
    </row>
    <row r="366" spans="1:9" s="260" customFormat="1" ht="12.75" hidden="1" customHeight="1" x14ac:dyDescent="0.2">
      <c r="A366" s="195"/>
      <c r="B366" s="196"/>
      <c r="C366" s="219"/>
      <c r="D366" s="232" t="s">
        <v>289</v>
      </c>
      <c r="E366" s="198"/>
      <c r="F366" s="343"/>
      <c r="G366" s="198"/>
      <c r="H366" s="296"/>
    </row>
    <row r="367" spans="1:9" s="260" customFormat="1" ht="12.75" hidden="1" customHeight="1" x14ac:dyDescent="0.2">
      <c r="A367" s="195"/>
      <c r="B367" s="196"/>
      <c r="C367" s="219"/>
      <c r="D367" s="232" t="s">
        <v>258</v>
      </c>
      <c r="E367" s="198"/>
      <c r="F367" s="343"/>
      <c r="G367" s="198"/>
      <c r="H367" s="296"/>
    </row>
    <row r="368" spans="1:9" s="260" customFormat="1" ht="12.75" hidden="1" customHeight="1" x14ac:dyDescent="0.2">
      <c r="A368" s="195"/>
      <c r="B368" s="196"/>
      <c r="C368" s="219"/>
      <c r="D368" s="451" t="s">
        <v>461</v>
      </c>
      <c r="E368" s="450"/>
      <c r="F368" s="343"/>
      <c r="G368" s="198"/>
      <c r="H368" s="296"/>
      <c r="I368" s="334"/>
    </row>
    <row r="369" spans="1:9" s="260" customFormat="1" ht="12.75" customHeight="1" x14ac:dyDescent="0.2">
      <c r="A369" s="199">
        <f>A360+1</f>
        <v>39</v>
      </c>
      <c r="B369" s="200">
        <v>4080</v>
      </c>
      <c r="C369" s="220" t="s">
        <v>238</v>
      </c>
      <c r="D369" s="277" t="str">
        <f>$D$5</f>
        <v>FTE June 2024</v>
      </c>
      <c r="E369" s="201">
        <f>'4080'!I$145</f>
        <v>-1009.62</v>
      </c>
      <c r="F369" s="342"/>
      <c r="G369" s="201">
        <f>SUBTOTAL(109,E369:F375)</f>
        <v>-1009.62</v>
      </c>
      <c r="H369" s="296"/>
    </row>
    <row r="370" spans="1:9" s="260" customFormat="1" ht="12.75" hidden="1" customHeight="1" x14ac:dyDescent="0.2">
      <c r="A370" s="199"/>
      <c r="B370" s="200"/>
      <c r="C370" s="220"/>
      <c r="D370" s="233" t="s">
        <v>279</v>
      </c>
      <c r="E370" s="201"/>
      <c r="F370" s="342"/>
      <c r="G370" s="201"/>
      <c r="H370" s="296"/>
    </row>
    <row r="371" spans="1:9" s="260" customFormat="1" ht="12.75" hidden="1" customHeight="1" x14ac:dyDescent="0.2">
      <c r="A371" s="199"/>
      <c r="B371" s="200"/>
      <c r="C371" s="220"/>
      <c r="D371" s="233" t="s">
        <v>498</v>
      </c>
      <c r="E371" s="201"/>
      <c r="F371" s="342"/>
      <c r="G371" s="201"/>
      <c r="H371" s="296"/>
    </row>
    <row r="372" spans="1:9" s="260" customFormat="1" ht="12.75" hidden="1" customHeight="1" x14ac:dyDescent="0.2">
      <c r="A372" s="199"/>
      <c r="B372" s="200"/>
      <c r="C372" s="220"/>
      <c r="D372" s="233" t="s">
        <v>280</v>
      </c>
      <c r="E372" s="201"/>
      <c r="F372" s="342"/>
      <c r="G372" s="201"/>
      <c r="H372" s="296"/>
      <c r="I372" s="196"/>
    </row>
    <row r="373" spans="1:9" s="260" customFormat="1" ht="12.75" hidden="1" customHeight="1" x14ac:dyDescent="0.2">
      <c r="A373" s="199"/>
      <c r="B373" s="200"/>
      <c r="C373" s="220"/>
      <c r="D373" s="233" t="s">
        <v>289</v>
      </c>
      <c r="E373" s="201"/>
      <c r="F373" s="342"/>
      <c r="G373" s="201"/>
      <c r="H373" s="296"/>
    </row>
    <row r="374" spans="1:9" s="260" customFormat="1" ht="12.75" hidden="1" customHeight="1" x14ac:dyDescent="0.2">
      <c r="A374" s="199"/>
      <c r="B374" s="200"/>
      <c r="C374" s="220"/>
      <c r="D374" s="233" t="s">
        <v>258</v>
      </c>
      <c r="E374" s="201"/>
      <c r="F374" s="342"/>
      <c r="G374" s="201"/>
      <c r="H374" s="296"/>
    </row>
    <row r="375" spans="1:9" s="260" customFormat="1" ht="12.75" hidden="1" customHeight="1" x14ac:dyDescent="0.2">
      <c r="A375" s="199"/>
      <c r="B375" s="200"/>
      <c r="C375" s="220"/>
      <c r="D375" s="233" t="s">
        <v>345</v>
      </c>
      <c r="E375" s="201"/>
      <c r="F375" s="342"/>
      <c r="G375" s="201"/>
      <c r="H375" s="296"/>
      <c r="I375" s="196"/>
    </row>
    <row r="376" spans="1:9" s="260" customFormat="1" ht="12.75" customHeight="1" x14ac:dyDescent="0.2">
      <c r="A376" s="195">
        <f>1+A369</f>
        <v>40</v>
      </c>
      <c r="B376" s="263">
        <v>4081</v>
      </c>
      <c r="C376" s="265" t="s">
        <v>235</v>
      </c>
      <c r="D376" s="506" t="str">
        <f>$D$5</f>
        <v>FTE June 2024</v>
      </c>
      <c r="E376" s="198">
        <f>'4081'!I$145</f>
        <v>-953.97</v>
      </c>
      <c r="F376" s="343"/>
      <c r="G376" s="198">
        <f>SUBTOTAL(109,E376:F384)</f>
        <v>-953.97</v>
      </c>
      <c r="H376" s="296"/>
    </row>
    <row r="377" spans="1:9" s="260" customFormat="1" ht="12.75" hidden="1" customHeight="1" x14ac:dyDescent="0.2">
      <c r="A377" s="195"/>
      <c r="B377" s="263"/>
      <c r="C377" s="265"/>
      <c r="D377" s="232" t="s">
        <v>279</v>
      </c>
      <c r="E377" s="198"/>
      <c r="F377" s="343"/>
      <c r="G377" s="198"/>
      <c r="H377" s="296"/>
      <c r="I377" s="332"/>
    </row>
    <row r="378" spans="1:9" s="260" customFormat="1" ht="12.75" hidden="1" customHeight="1" x14ac:dyDescent="0.2">
      <c r="A378" s="195"/>
      <c r="B378" s="196"/>
      <c r="C378" s="219"/>
      <c r="D378" s="350" t="s">
        <v>498</v>
      </c>
      <c r="E378" s="198"/>
      <c r="F378" s="343"/>
      <c r="G378" s="198"/>
      <c r="H378" s="296"/>
      <c r="I378" s="332"/>
    </row>
    <row r="379" spans="1:9" s="260" customFormat="1" ht="12.75" hidden="1" customHeight="1" x14ac:dyDescent="0.2">
      <c r="A379" s="195"/>
      <c r="B379" s="263"/>
      <c r="C379" s="265"/>
      <c r="D379" s="232" t="s">
        <v>281</v>
      </c>
      <c r="E379" s="198"/>
      <c r="F379" s="343"/>
      <c r="G379" s="198"/>
      <c r="H379" s="296"/>
    </row>
    <row r="380" spans="1:9" s="260" customFormat="1" ht="12.75" hidden="1" customHeight="1" x14ac:dyDescent="0.2">
      <c r="A380" s="195"/>
      <c r="B380" s="263"/>
      <c r="C380" s="265"/>
      <c r="D380" s="232" t="s">
        <v>280</v>
      </c>
      <c r="E380" s="198"/>
      <c r="F380" s="343"/>
      <c r="G380" s="198"/>
      <c r="H380" s="296"/>
    </row>
    <row r="381" spans="1:9" s="260" customFormat="1" ht="12.75" hidden="1" customHeight="1" x14ac:dyDescent="0.2">
      <c r="A381" s="195"/>
      <c r="B381" s="263"/>
      <c r="C381" s="265"/>
      <c r="D381" s="232" t="s">
        <v>289</v>
      </c>
      <c r="E381" s="198"/>
      <c r="F381" s="343"/>
      <c r="G381" s="198"/>
      <c r="H381" s="296"/>
    </row>
    <row r="382" spans="1:9" s="260" customFormat="1" ht="12.75" hidden="1" customHeight="1" x14ac:dyDescent="0.2">
      <c r="A382" s="195"/>
      <c r="B382" s="196"/>
      <c r="C382" s="219"/>
      <c r="D382" s="232" t="s">
        <v>258</v>
      </c>
      <c r="E382" s="198"/>
      <c r="F382" s="343"/>
      <c r="G382" s="198"/>
      <c r="H382" s="296"/>
    </row>
    <row r="383" spans="1:9" s="260" customFormat="1" ht="12.75" hidden="1" customHeight="1" x14ac:dyDescent="0.2">
      <c r="A383" s="195"/>
      <c r="B383" s="196"/>
      <c r="C383" s="219"/>
      <c r="D383" s="232" t="s">
        <v>358</v>
      </c>
      <c r="E383" s="198"/>
      <c r="F383" s="343"/>
      <c r="G383" s="198"/>
      <c r="H383" s="296"/>
    </row>
    <row r="384" spans="1:9" s="260" customFormat="1" ht="12.75" hidden="1" customHeight="1" x14ac:dyDescent="0.2">
      <c r="A384" s="195"/>
      <c r="B384" s="196"/>
      <c r="C384" s="219"/>
      <c r="D384" s="276" t="s">
        <v>345</v>
      </c>
      <c r="E384" s="198"/>
      <c r="F384" s="343"/>
      <c r="G384" s="198"/>
      <c r="H384" s="296"/>
    </row>
    <row r="385" spans="1:12" s="260" customFormat="1" ht="12.75" customHeight="1" x14ac:dyDescent="0.2">
      <c r="A385" s="199">
        <f>1+A376</f>
        <v>41</v>
      </c>
      <c r="B385" s="200">
        <v>4090</v>
      </c>
      <c r="C385" s="220" t="s">
        <v>275</v>
      </c>
      <c r="D385" s="277" t="str">
        <f>$D$5</f>
        <v>FTE June 2024</v>
      </c>
      <c r="E385" s="201">
        <f>'4090'!I$145</f>
        <v>-46848.01</v>
      </c>
      <c r="F385" s="342"/>
      <c r="G385" s="201">
        <f>SUBTOTAL(109,E385:F394)</f>
        <v>-46848.01</v>
      </c>
      <c r="H385" s="296"/>
    </row>
    <row r="386" spans="1:12" s="260" customFormat="1" ht="12.75" hidden="1" customHeight="1" x14ac:dyDescent="0.2">
      <c r="A386" s="199"/>
      <c r="B386" s="200"/>
      <c r="C386" s="220"/>
      <c r="D386" s="233" t="s">
        <v>279</v>
      </c>
      <c r="E386" s="201"/>
      <c r="F386" s="342"/>
      <c r="G386" s="201"/>
      <c r="H386" s="296"/>
      <c r="L386" s="333"/>
    </row>
    <row r="387" spans="1:12" s="260" customFormat="1" ht="12.75" hidden="1" customHeight="1" x14ac:dyDescent="0.2">
      <c r="A387" s="199"/>
      <c r="B387" s="200"/>
      <c r="C387" s="220"/>
      <c r="D387" s="387" t="s">
        <v>362</v>
      </c>
      <c r="E387" s="201"/>
      <c r="F387" s="342"/>
      <c r="G387" s="201"/>
      <c r="H387" s="296"/>
    </row>
    <row r="388" spans="1:12" s="260" customFormat="1" ht="12.75" hidden="1" customHeight="1" x14ac:dyDescent="0.2">
      <c r="A388" s="199"/>
      <c r="B388" s="200"/>
      <c r="C388" s="220"/>
      <c r="D388" s="387" t="s">
        <v>361</v>
      </c>
      <c r="E388" s="201"/>
      <c r="F388" s="342"/>
      <c r="G388" s="201"/>
      <c r="H388" s="296"/>
      <c r="I388" s="196"/>
    </row>
    <row r="389" spans="1:12" s="260" customFormat="1" ht="12.75" hidden="1" customHeight="1" x14ac:dyDescent="0.2">
      <c r="A389" s="199"/>
      <c r="B389" s="200"/>
      <c r="C389" s="220"/>
      <c r="D389" s="233" t="s">
        <v>281</v>
      </c>
      <c r="E389" s="201"/>
      <c r="F389" s="342"/>
      <c r="G389" s="201"/>
      <c r="H389" s="296"/>
    </row>
    <row r="390" spans="1:12" s="260" customFormat="1" ht="12.75" hidden="1" customHeight="1" x14ac:dyDescent="0.2">
      <c r="A390" s="199"/>
      <c r="B390" s="200"/>
      <c r="C390" s="220"/>
      <c r="D390" s="233" t="s">
        <v>280</v>
      </c>
      <c r="E390" s="201"/>
      <c r="F390" s="342"/>
      <c r="G390" s="201"/>
      <c r="H390" s="296"/>
    </row>
    <row r="391" spans="1:12" s="260" customFormat="1" ht="12.75" hidden="1" customHeight="1" x14ac:dyDescent="0.2">
      <c r="A391" s="199"/>
      <c r="B391" s="200"/>
      <c r="C391" s="220"/>
      <c r="D391" s="233" t="s">
        <v>289</v>
      </c>
      <c r="E391" s="201"/>
      <c r="F391" s="342"/>
      <c r="G391" s="201"/>
      <c r="H391" s="296"/>
    </row>
    <row r="392" spans="1:12" s="260" customFormat="1" ht="12.75" hidden="1" customHeight="1" x14ac:dyDescent="0.2">
      <c r="A392" s="199"/>
      <c r="B392" s="200"/>
      <c r="C392" s="220"/>
      <c r="D392" s="233" t="s">
        <v>258</v>
      </c>
      <c r="E392" s="201"/>
      <c r="F392" s="342"/>
      <c r="G392" s="201"/>
      <c r="H392" s="296"/>
      <c r="I392" s="332"/>
    </row>
    <row r="393" spans="1:12" s="260" customFormat="1" ht="12.75" hidden="1" customHeight="1" x14ac:dyDescent="0.2">
      <c r="A393" s="199"/>
      <c r="B393" s="200"/>
      <c r="C393" s="220"/>
      <c r="D393" s="233" t="s">
        <v>358</v>
      </c>
      <c r="E393" s="201"/>
      <c r="F393" s="342"/>
      <c r="G393" s="201"/>
      <c r="H393" s="296"/>
      <c r="I393" s="334"/>
    </row>
    <row r="394" spans="1:12" s="260" customFormat="1" ht="12.75" hidden="1" customHeight="1" x14ac:dyDescent="0.2">
      <c r="A394" s="199"/>
      <c r="B394" s="200"/>
      <c r="C394" s="220"/>
      <c r="D394" s="233" t="s">
        <v>538</v>
      </c>
      <c r="E394" s="201"/>
      <c r="F394" s="342"/>
      <c r="G394" s="201"/>
      <c r="H394" s="296"/>
      <c r="I394" s="332"/>
    </row>
    <row r="395" spans="1:12" s="260" customFormat="1" ht="12.75" customHeight="1" x14ac:dyDescent="0.2">
      <c r="A395" s="195">
        <f>1+A385</f>
        <v>42</v>
      </c>
      <c r="B395" s="263">
        <v>4091</v>
      </c>
      <c r="C395" s="265" t="s">
        <v>276</v>
      </c>
      <c r="D395" s="506" t="str">
        <f>$D$5</f>
        <v>FTE June 2024</v>
      </c>
      <c r="E395" s="198">
        <f>'4091'!I$145</f>
        <v>-221.25</v>
      </c>
      <c r="F395" s="343"/>
      <c r="G395" s="198">
        <f>SUBTOTAL(109,E395:F404)</f>
        <v>-221.25</v>
      </c>
      <c r="H395" s="296"/>
      <c r="L395" s="333"/>
    </row>
    <row r="396" spans="1:12" s="260" customFormat="1" ht="12.75" hidden="1" customHeight="1" x14ac:dyDescent="0.2">
      <c r="A396" s="195"/>
      <c r="B396" s="263"/>
      <c r="C396" s="265"/>
      <c r="D396" s="232" t="s">
        <v>279</v>
      </c>
      <c r="E396" s="198"/>
      <c r="F396" s="343"/>
      <c r="G396" s="198"/>
      <c r="H396" s="296"/>
    </row>
    <row r="397" spans="1:12" s="260" customFormat="1" ht="12.75" hidden="1" customHeight="1" x14ac:dyDescent="0.2">
      <c r="A397" s="195"/>
      <c r="B397" s="196"/>
      <c r="C397" s="219"/>
      <c r="D397" s="350" t="s">
        <v>498</v>
      </c>
      <c r="E397" s="198"/>
      <c r="F397" s="343"/>
      <c r="G397" s="198"/>
      <c r="H397" s="296"/>
      <c r="I397" s="196"/>
    </row>
    <row r="398" spans="1:12" s="260" customFormat="1" ht="12.75" hidden="1" customHeight="1" x14ac:dyDescent="0.2">
      <c r="A398" s="195"/>
      <c r="B398" s="263"/>
      <c r="C398" s="265"/>
      <c r="D398" s="232" t="s">
        <v>281</v>
      </c>
      <c r="E398" s="198"/>
      <c r="F398" s="343"/>
      <c r="G398" s="198"/>
      <c r="H398" s="296"/>
      <c r="I398" s="196"/>
    </row>
    <row r="399" spans="1:12" s="260" customFormat="1" ht="12.75" hidden="1" customHeight="1" x14ac:dyDescent="0.2">
      <c r="A399" s="195"/>
      <c r="B399" s="263"/>
      <c r="C399" s="265"/>
      <c r="D399" s="232" t="s">
        <v>280</v>
      </c>
      <c r="E399" s="198"/>
      <c r="F399" s="343"/>
      <c r="G399" s="198"/>
      <c r="H399" s="296"/>
    </row>
    <row r="400" spans="1:12" s="260" customFormat="1" ht="12.75" hidden="1" customHeight="1" x14ac:dyDescent="0.2">
      <c r="A400" s="195"/>
      <c r="B400" s="263"/>
      <c r="C400" s="265"/>
      <c r="D400" s="232" t="s">
        <v>289</v>
      </c>
      <c r="E400" s="198"/>
      <c r="F400" s="343"/>
      <c r="G400" s="198"/>
      <c r="H400" s="296"/>
    </row>
    <row r="401" spans="1:13" s="260" customFormat="1" ht="12.75" hidden="1" customHeight="1" x14ac:dyDescent="0.2">
      <c r="A401" s="195"/>
      <c r="B401" s="196"/>
      <c r="C401" s="219"/>
      <c r="D401" s="232" t="s">
        <v>258</v>
      </c>
      <c r="E401" s="198"/>
      <c r="F401" s="343"/>
      <c r="G401" s="198"/>
      <c r="H401" s="296"/>
    </row>
    <row r="402" spans="1:13" s="260" customFormat="1" ht="12.75" hidden="1" customHeight="1" x14ac:dyDescent="0.2">
      <c r="A402" s="195"/>
      <c r="B402" s="196"/>
      <c r="C402" s="219"/>
      <c r="D402" s="232" t="s">
        <v>358</v>
      </c>
      <c r="E402" s="198"/>
      <c r="F402" s="343"/>
      <c r="G402" s="198"/>
      <c r="H402" s="296"/>
    </row>
    <row r="403" spans="1:13" s="260" customFormat="1" ht="12.75" hidden="1" customHeight="1" x14ac:dyDescent="0.2">
      <c r="A403" s="195"/>
      <c r="B403" s="196"/>
      <c r="C403" s="219"/>
      <c r="D403" s="276" t="s">
        <v>499</v>
      </c>
      <c r="E403" s="198"/>
      <c r="F403" s="343"/>
      <c r="G403" s="198"/>
      <c r="H403" s="296"/>
    </row>
    <row r="404" spans="1:13" s="260" customFormat="1" ht="12.75" hidden="1" customHeight="1" x14ac:dyDescent="0.2">
      <c r="A404" s="195"/>
      <c r="B404" s="196"/>
      <c r="C404" s="219"/>
      <c r="D404" s="276" t="s">
        <v>393</v>
      </c>
      <c r="E404" s="198"/>
      <c r="F404" s="343"/>
      <c r="G404" s="198"/>
      <c r="H404" s="296"/>
    </row>
    <row r="405" spans="1:13" s="260" customFormat="1" ht="12.75" customHeight="1" x14ac:dyDescent="0.2">
      <c r="A405" s="199">
        <f>1+A395</f>
        <v>43</v>
      </c>
      <c r="B405" s="200">
        <v>4100</v>
      </c>
      <c r="C405" s="220" t="s">
        <v>268</v>
      </c>
      <c r="D405" s="277" t="str">
        <f>$D$5</f>
        <v>FTE June 2024</v>
      </c>
      <c r="E405" s="201">
        <f>'4100'!I$145</f>
        <v>-3331.59</v>
      </c>
      <c r="F405" s="342"/>
      <c r="G405" s="201">
        <f>SUBTOTAL(109,E405:F413)</f>
        <v>-3331.59</v>
      </c>
      <c r="H405" s="296"/>
      <c r="M405" s="333"/>
    </row>
    <row r="406" spans="1:13" s="260" customFormat="1" ht="12.75" hidden="1" customHeight="1" x14ac:dyDescent="0.2">
      <c r="A406" s="199"/>
      <c r="B406" s="200"/>
      <c r="C406" s="220"/>
      <c r="D406" s="233" t="s">
        <v>279</v>
      </c>
      <c r="E406" s="201"/>
      <c r="F406" s="342"/>
      <c r="G406" s="201"/>
      <c r="H406" s="296"/>
    </row>
    <row r="407" spans="1:13" s="260" customFormat="1" ht="12.75" hidden="1" customHeight="1" x14ac:dyDescent="0.2">
      <c r="A407" s="199"/>
      <c r="B407" s="200"/>
      <c r="C407" s="220"/>
      <c r="D407" s="387" t="s">
        <v>498</v>
      </c>
      <c r="E407" s="201"/>
      <c r="F407" s="342"/>
      <c r="G407" s="201"/>
      <c r="H407" s="296"/>
      <c r="I407" s="196"/>
    </row>
    <row r="408" spans="1:13" s="260" customFormat="1" ht="12.75" hidden="1" customHeight="1" x14ac:dyDescent="0.2">
      <c r="A408" s="199"/>
      <c r="B408" s="200"/>
      <c r="C408" s="220"/>
      <c r="D408" s="233" t="s">
        <v>281</v>
      </c>
      <c r="E408" s="201"/>
      <c r="F408" s="342"/>
      <c r="G408" s="201"/>
      <c r="H408" s="296"/>
    </row>
    <row r="409" spans="1:13" s="260" customFormat="1" ht="12.75" hidden="1" customHeight="1" x14ac:dyDescent="0.2">
      <c r="A409" s="199"/>
      <c r="B409" s="200"/>
      <c r="C409" s="220"/>
      <c r="D409" s="233" t="s">
        <v>280</v>
      </c>
      <c r="E409" s="201"/>
      <c r="F409" s="342"/>
      <c r="G409" s="201"/>
      <c r="H409" s="296"/>
    </row>
    <row r="410" spans="1:13" s="260" customFormat="1" ht="12.75" hidden="1" customHeight="1" x14ac:dyDescent="0.2">
      <c r="A410" s="199"/>
      <c r="B410" s="200"/>
      <c r="C410" s="220"/>
      <c r="D410" s="233" t="s">
        <v>289</v>
      </c>
      <c r="E410" s="201"/>
      <c r="F410" s="342"/>
      <c r="G410" s="201"/>
      <c r="H410" s="296"/>
    </row>
    <row r="411" spans="1:13" s="260" customFormat="1" ht="12.75" hidden="1" customHeight="1" x14ac:dyDescent="0.2">
      <c r="A411" s="199"/>
      <c r="B411" s="200"/>
      <c r="C411" s="220"/>
      <c r="D411" s="233" t="s">
        <v>258</v>
      </c>
      <c r="E411" s="201"/>
      <c r="F411" s="342"/>
      <c r="G411" s="201"/>
      <c r="H411" s="296"/>
      <c r="I411" s="332"/>
    </row>
    <row r="412" spans="1:13" s="260" customFormat="1" ht="12.75" hidden="1" customHeight="1" x14ac:dyDescent="0.2">
      <c r="A412" s="199"/>
      <c r="B412" s="200"/>
      <c r="C412" s="220"/>
      <c r="D412" s="233" t="s">
        <v>358</v>
      </c>
      <c r="E412" s="201"/>
      <c r="F412" s="342"/>
      <c r="G412" s="201"/>
      <c r="H412" s="296"/>
      <c r="I412" s="334"/>
    </row>
    <row r="413" spans="1:13" s="260" customFormat="1" ht="12.75" hidden="1" customHeight="1" x14ac:dyDescent="0.2">
      <c r="A413" s="199"/>
      <c r="B413" s="200"/>
      <c r="C413" s="220"/>
      <c r="D413" s="233" t="s">
        <v>345</v>
      </c>
      <c r="E413" s="201"/>
      <c r="F413" s="342"/>
      <c r="G413" s="201"/>
      <c r="H413" s="296"/>
    </row>
    <row r="414" spans="1:13" s="260" customFormat="1" ht="12.75" customHeight="1" x14ac:dyDescent="0.2">
      <c r="A414" s="195">
        <f>1+A405</f>
        <v>44</v>
      </c>
      <c r="B414" s="263">
        <v>4102</v>
      </c>
      <c r="C414" s="265" t="s">
        <v>283</v>
      </c>
      <c r="D414" s="506" t="str">
        <f>$D$5</f>
        <v>FTE June 2024</v>
      </c>
      <c r="E414" s="198">
        <f>'4102'!I$145</f>
        <v>8282.18</v>
      </c>
      <c r="F414" s="343"/>
      <c r="G414" s="198">
        <f>SUBTOTAL(109,E414:F421)</f>
        <v>8282.18</v>
      </c>
      <c r="H414" s="296"/>
    </row>
    <row r="415" spans="1:13" s="260" customFormat="1" ht="12.75" hidden="1" customHeight="1" x14ac:dyDescent="0.2">
      <c r="A415" s="195"/>
      <c r="B415" s="263"/>
      <c r="C415" s="265"/>
      <c r="D415" s="232" t="s">
        <v>279</v>
      </c>
      <c r="E415" s="198"/>
      <c r="F415" s="343"/>
      <c r="G415" s="198"/>
      <c r="H415" s="296"/>
    </row>
    <row r="416" spans="1:13" s="260" customFormat="1" ht="12.75" hidden="1" customHeight="1" x14ac:dyDescent="0.2">
      <c r="A416" s="195"/>
      <c r="B416" s="196"/>
      <c r="C416" s="219"/>
      <c r="D416" s="350"/>
      <c r="E416" s="450"/>
      <c r="F416" s="343"/>
      <c r="G416" s="198"/>
      <c r="H416" s="296"/>
    </row>
    <row r="417" spans="1:9" s="260" customFormat="1" ht="12.75" hidden="1" customHeight="1" x14ac:dyDescent="0.2">
      <c r="A417" s="195"/>
      <c r="B417" s="263"/>
      <c r="C417" s="265"/>
      <c r="D417" s="232" t="s">
        <v>281</v>
      </c>
      <c r="E417" s="198"/>
      <c r="F417" s="343"/>
      <c r="G417" s="198"/>
      <c r="H417" s="296"/>
      <c r="I417" s="196"/>
    </row>
    <row r="418" spans="1:9" s="260" customFormat="1" ht="12.75" hidden="1" customHeight="1" x14ac:dyDescent="0.2">
      <c r="A418" s="195"/>
      <c r="B418" s="263"/>
      <c r="C418" s="265"/>
      <c r="D418" s="232" t="s">
        <v>280</v>
      </c>
      <c r="E418" s="198"/>
      <c r="F418" s="343"/>
      <c r="G418" s="198"/>
      <c r="H418" s="296"/>
    </row>
    <row r="419" spans="1:9" s="260" customFormat="1" ht="12.75" hidden="1" customHeight="1" x14ac:dyDescent="0.2">
      <c r="A419" s="195"/>
      <c r="B419" s="263"/>
      <c r="C419" s="265"/>
      <c r="D419" s="232" t="s">
        <v>289</v>
      </c>
      <c r="E419" s="198"/>
      <c r="F419" s="343"/>
      <c r="G419" s="198"/>
      <c r="H419" s="296"/>
    </row>
    <row r="420" spans="1:9" s="260" customFormat="1" ht="12.75" hidden="1" customHeight="1" x14ac:dyDescent="0.2">
      <c r="A420" s="195"/>
      <c r="B420" s="196"/>
      <c r="C420" s="219"/>
      <c r="D420" s="232" t="s">
        <v>258</v>
      </c>
      <c r="E420" s="198"/>
      <c r="F420" s="343"/>
      <c r="G420" s="198"/>
      <c r="H420" s="296"/>
    </row>
    <row r="421" spans="1:9" s="260" customFormat="1" ht="12.75" hidden="1" customHeight="1" x14ac:dyDescent="0.2">
      <c r="A421" s="195"/>
      <c r="B421" s="196"/>
      <c r="C421" s="219"/>
      <c r="D421" s="276" t="s">
        <v>540</v>
      </c>
      <c r="E421" s="198"/>
      <c r="F421" s="343"/>
      <c r="G421" s="198"/>
      <c r="H421" s="296"/>
    </row>
    <row r="422" spans="1:9" s="260" customFormat="1" ht="12.75" customHeight="1" x14ac:dyDescent="0.2">
      <c r="A422" s="199">
        <f>A414+1</f>
        <v>45</v>
      </c>
      <c r="B422" s="200">
        <v>4103</v>
      </c>
      <c r="C422" s="220" t="s">
        <v>324</v>
      </c>
      <c r="D422" s="277" t="str">
        <f>$D$5</f>
        <v>FTE June 2024</v>
      </c>
      <c r="E422" s="201">
        <f>'4103'!I$145</f>
        <v>-11624.04</v>
      </c>
      <c r="F422" s="342"/>
      <c r="G422" s="201">
        <f>SUBTOTAL(109,E422:F431)</f>
        <v>-11624.04</v>
      </c>
      <c r="H422" s="296"/>
    </row>
    <row r="423" spans="1:9" s="260" customFormat="1" ht="12.75" hidden="1" customHeight="1" x14ac:dyDescent="0.2">
      <c r="A423" s="199"/>
      <c r="B423" s="200"/>
      <c r="C423" s="220"/>
      <c r="D423" s="233" t="s">
        <v>279</v>
      </c>
      <c r="E423" s="201"/>
      <c r="F423" s="342"/>
      <c r="G423" s="201"/>
      <c r="H423" s="296"/>
    </row>
    <row r="424" spans="1:9" s="260" customFormat="1" ht="12.75" hidden="1" customHeight="1" x14ac:dyDescent="0.2">
      <c r="A424" s="199"/>
      <c r="B424" s="200"/>
      <c r="C424" s="220"/>
      <c r="D424" s="387" t="s">
        <v>498</v>
      </c>
      <c r="E424" s="201"/>
      <c r="F424" s="342"/>
      <c r="G424" s="201"/>
      <c r="H424" s="296"/>
    </row>
    <row r="425" spans="1:9" s="260" customFormat="1" ht="12.75" hidden="1" customHeight="1" x14ac:dyDescent="0.2">
      <c r="A425" s="199"/>
      <c r="B425" s="200"/>
      <c r="C425" s="220"/>
      <c r="D425" s="387" t="s">
        <v>361</v>
      </c>
      <c r="E425" s="201"/>
      <c r="F425" s="342"/>
      <c r="G425" s="201"/>
      <c r="H425" s="296"/>
    </row>
    <row r="426" spans="1:9" s="260" customFormat="1" ht="12.75" hidden="1" customHeight="1" x14ac:dyDescent="0.2">
      <c r="A426" s="199"/>
      <c r="B426" s="200"/>
      <c r="C426" s="220"/>
      <c r="D426" s="233" t="s">
        <v>281</v>
      </c>
      <c r="E426" s="201"/>
      <c r="F426" s="342"/>
      <c r="G426" s="201"/>
      <c r="H426" s="296"/>
      <c r="I426" s="196"/>
    </row>
    <row r="427" spans="1:9" s="260" customFormat="1" ht="12.75" hidden="1" customHeight="1" x14ac:dyDescent="0.2">
      <c r="A427" s="199"/>
      <c r="B427" s="200"/>
      <c r="C427" s="220"/>
      <c r="D427" s="233" t="s">
        <v>280</v>
      </c>
      <c r="E427" s="201"/>
      <c r="F427" s="342"/>
      <c r="G427" s="201"/>
      <c r="H427" s="296"/>
    </row>
    <row r="428" spans="1:9" s="260" customFormat="1" ht="12.75" hidden="1" customHeight="1" x14ac:dyDescent="0.2">
      <c r="A428" s="199"/>
      <c r="B428" s="200"/>
      <c r="C428" s="220"/>
      <c r="D428" s="233" t="s">
        <v>289</v>
      </c>
      <c r="E428" s="201"/>
      <c r="F428" s="342"/>
      <c r="G428" s="201"/>
      <c r="H428" s="296"/>
    </row>
    <row r="429" spans="1:9" s="260" customFormat="1" ht="12.75" hidden="1" customHeight="1" x14ac:dyDescent="0.2">
      <c r="A429" s="199"/>
      <c r="B429" s="200"/>
      <c r="C429" s="220"/>
      <c r="D429" s="233" t="s">
        <v>258</v>
      </c>
      <c r="E429" s="201"/>
      <c r="F429" s="342"/>
      <c r="G429" s="201"/>
      <c r="H429" s="296"/>
      <c r="I429" s="188"/>
    </row>
    <row r="430" spans="1:9" s="260" customFormat="1" ht="12.75" hidden="1" customHeight="1" x14ac:dyDescent="0.2">
      <c r="A430" s="199"/>
      <c r="B430" s="200"/>
      <c r="C430" s="220"/>
      <c r="D430" s="233" t="s">
        <v>358</v>
      </c>
      <c r="E430" s="201"/>
      <c r="F430" s="342"/>
      <c r="G430" s="201"/>
      <c r="H430" s="296"/>
      <c r="I430" s="332"/>
    </row>
    <row r="431" spans="1:9" s="260" customFormat="1" ht="12.75" hidden="1" customHeight="1" x14ac:dyDescent="0.2">
      <c r="A431" s="199"/>
      <c r="B431" s="200"/>
      <c r="C431" s="220"/>
      <c r="D431" s="233" t="s">
        <v>345</v>
      </c>
      <c r="E431" s="201"/>
      <c r="F431" s="342"/>
      <c r="G431" s="201"/>
      <c r="H431" s="296"/>
      <c r="I431" s="332"/>
    </row>
    <row r="432" spans="1:9" s="260" customFormat="1" ht="12.75" customHeight="1" x14ac:dyDescent="0.2">
      <c r="A432" s="195">
        <f>1+A422</f>
        <v>46</v>
      </c>
      <c r="B432" s="263">
        <v>4111</v>
      </c>
      <c r="C432" s="265" t="s">
        <v>342</v>
      </c>
      <c r="D432" s="506" t="str">
        <f>$D$5</f>
        <v>FTE June 2024</v>
      </c>
      <c r="E432" s="198">
        <f>'4111'!I$145</f>
        <v>-9037.33</v>
      </c>
      <c r="F432" s="343"/>
      <c r="G432" s="198">
        <f>SUBTOTAL(109,E432:F440)</f>
        <v>-9037.33</v>
      </c>
      <c r="H432" s="296"/>
    </row>
    <row r="433" spans="1:9" s="260" customFormat="1" ht="12.75" hidden="1" customHeight="1" x14ac:dyDescent="0.2">
      <c r="A433" s="195"/>
      <c r="B433" s="263"/>
      <c r="C433" s="265"/>
      <c r="D433" s="232" t="s">
        <v>279</v>
      </c>
      <c r="E433" s="198"/>
      <c r="F433" s="343"/>
      <c r="G433" s="198"/>
      <c r="H433" s="296"/>
    </row>
    <row r="434" spans="1:9" s="260" customFormat="1" ht="12.75" hidden="1" customHeight="1" x14ac:dyDescent="0.2">
      <c r="A434" s="195"/>
      <c r="B434" s="196"/>
      <c r="C434" s="219"/>
      <c r="D434" s="350" t="s">
        <v>498</v>
      </c>
      <c r="E434" s="198"/>
      <c r="F434" s="343"/>
      <c r="G434" s="198"/>
      <c r="H434" s="296"/>
      <c r="I434" s="196"/>
    </row>
    <row r="435" spans="1:9" s="260" customFormat="1" ht="12.75" hidden="1" customHeight="1" x14ac:dyDescent="0.2">
      <c r="A435" s="195"/>
      <c r="B435" s="263"/>
      <c r="C435" s="265"/>
      <c r="D435" s="232" t="s">
        <v>281</v>
      </c>
      <c r="E435" s="198"/>
      <c r="F435" s="343"/>
      <c r="G435" s="198"/>
      <c r="H435" s="296"/>
      <c r="I435" s="196"/>
    </row>
    <row r="436" spans="1:9" s="260" customFormat="1" ht="12.75" hidden="1" customHeight="1" x14ac:dyDescent="0.2">
      <c r="A436" s="195"/>
      <c r="B436" s="263"/>
      <c r="C436" s="265"/>
      <c r="D436" s="232" t="s">
        <v>280</v>
      </c>
      <c r="E436" s="198"/>
      <c r="F436" s="343"/>
      <c r="G436" s="198"/>
      <c r="H436" s="296"/>
    </row>
    <row r="437" spans="1:9" s="260" customFormat="1" ht="12.75" hidden="1" customHeight="1" x14ac:dyDescent="0.2">
      <c r="A437" s="195"/>
      <c r="B437" s="263"/>
      <c r="C437" s="265"/>
      <c r="D437" s="232" t="s">
        <v>289</v>
      </c>
      <c r="E437" s="198"/>
      <c r="F437" s="343"/>
      <c r="G437" s="198"/>
      <c r="H437" s="296"/>
    </row>
    <row r="438" spans="1:9" s="260" customFormat="1" ht="12.75" hidden="1" customHeight="1" x14ac:dyDescent="0.2">
      <c r="A438" s="195"/>
      <c r="B438" s="196"/>
      <c r="C438" s="219"/>
      <c r="D438" s="232" t="s">
        <v>258</v>
      </c>
      <c r="E438" s="198"/>
      <c r="F438" s="343"/>
      <c r="G438" s="198"/>
      <c r="H438" s="296"/>
    </row>
    <row r="439" spans="1:9" s="260" customFormat="1" ht="12.75" hidden="1" customHeight="1" x14ac:dyDescent="0.2">
      <c r="A439" s="195"/>
      <c r="B439" s="196"/>
      <c r="C439" s="219"/>
      <c r="D439" s="232" t="s">
        <v>358</v>
      </c>
      <c r="E439" s="198"/>
      <c r="F439" s="343"/>
      <c r="G439" s="198"/>
      <c r="H439" s="296"/>
    </row>
    <row r="440" spans="1:9" s="260" customFormat="1" ht="1.5" customHeight="1" x14ac:dyDescent="0.2">
      <c r="A440" s="195"/>
      <c r="B440" s="196"/>
      <c r="C440" s="219"/>
      <c r="D440" s="276" t="s">
        <v>345</v>
      </c>
      <c r="E440" s="198"/>
      <c r="F440" s="343"/>
      <c r="G440" s="198"/>
      <c r="H440" s="296"/>
    </row>
    <row r="441" spans="1:9" s="260" customFormat="1" ht="12.75" customHeight="1" x14ac:dyDescent="0.2">
      <c r="A441" s="199">
        <f>1+A432</f>
        <v>47</v>
      </c>
      <c r="B441" s="391">
        <v>4131</v>
      </c>
      <c r="C441" s="392" t="s">
        <v>376</v>
      </c>
      <c r="D441" s="277" t="str">
        <f>$D$5</f>
        <v>FTE June 2024</v>
      </c>
      <c r="E441" s="201">
        <f>'4131'!I$145</f>
        <v>1112.98</v>
      </c>
      <c r="F441" s="342"/>
      <c r="G441" s="201">
        <f>SUBTOTAL(109,E441:F449)</f>
        <v>1112.98</v>
      </c>
      <c r="H441" s="296"/>
    </row>
    <row r="442" spans="1:9" s="260" customFormat="1" ht="12.75" hidden="1" customHeight="1" x14ac:dyDescent="0.2">
      <c r="A442" s="199"/>
      <c r="B442" s="391"/>
      <c r="C442" s="392"/>
      <c r="D442" s="233" t="s">
        <v>279</v>
      </c>
      <c r="E442" s="201"/>
      <c r="F442" s="342"/>
      <c r="G442" s="201"/>
      <c r="H442" s="296"/>
    </row>
    <row r="443" spans="1:9" s="260" customFormat="1" ht="12.75" hidden="1" customHeight="1" x14ac:dyDescent="0.2">
      <c r="A443" s="199"/>
      <c r="B443" s="200"/>
      <c r="C443" s="220"/>
      <c r="D443" s="387" t="s">
        <v>362</v>
      </c>
      <c r="E443" s="201"/>
      <c r="F443" s="342"/>
      <c r="G443" s="201"/>
      <c r="H443" s="296"/>
    </row>
    <row r="444" spans="1:9" s="260" customFormat="1" ht="12.75" hidden="1" customHeight="1" x14ac:dyDescent="0.2">
      <c r="A444" s="199"/>
      <c r="B444" s="391"/>
      <c r="C444" s="392"/>
      <c r="D444" s="233" t="s">
        <v>281</v>
      </c>
      <c r="E444" s="201"/>
      <c r="F444" s="342"/>
      <c r="G444" s="201"/>
      <c r="H444" s="296"/>
      <c r="I444" s="196"/>
    </row>
    <row r="445" spans="1:9" s="260" customFormat="1" ht="12.75" hidden="1" customHeight="1" x14ac:dyDescent="0.2">
      <c r="A445" s="199"/>
      <c r="B445" s="391"/>
      <c r="C445" s="392"/>
      <c r="D445" s="233" t="s">
        <v>280</v>
      </c>
      <c r="E445" s="201"/>
      <c r="F445" s="342"/>
      <c r="G445" s="201"/>
      <c r="H445" s="296"/>
    </row>
    <row r="446" spans="1:9" s="260" customFormat="1" ht="12.75" hidden="1" customHeight="1" x14ac:dyDescent="0.2">
      <c r="A446" s="199"/>
      <c r="B446" s="391"/>
      <c r="C446" s="392"/>
      <c r="D446" s="233" t="s">
        <v>289</v>
      </c>
      <c r="E446" s="201"/>
      <c r="F446" s="342"/>
      <c r="G446" s="201"/>
      <c r="H446" s="296"/>
    </row>
    <row r="447" spans="1:9" s="260" customFormat="1" ht="12.75" hidden="1" customHeight="1" x14ac:dyDescent="0.2">
      <c r="A447" s="199"/>
      <c r="B447" s="200"/>
      <c r="C447" s="220"/>
      <c r="D447" s="233" t="s">
        <v>258</v>
      </c>
      <c r="E447" s="201"/>
      <c r="F447" s="342"/>
      <c r="G447" s="201"/>
      <c r="H447" s="296"/>
      <c r="I447" s="188"/>
    </row>
    <row r="448" spans="1:9" s="260" customFormat="1" ht="12.75" hidden="1" customHeight="1" x14ac:dyDescent="0.2">
      <c r="A448" s="199"/>
      <c r="B448" s="200"/>
      <c r="C448" s="220"/>
      <c r="D448" s="233" t="s">
        <v>358</v>
      </c>
      <c r="E448" s="201"/>
      <c r="F448" s="342"/>
      <c r="G448" s="201"/>
      <c r="H448" s="296"/>
      <c r="I448" s="332"/>
    </row>
    <row r="449" spans="1:10" s="260" customFormat="1" ht="12.75" hidden="1" customHeight="1" x14ac:dyDescent="0.2">
      <c r="A449" s="199"/>
      <c r="B449" s="200"/>
      <c r="C449" s="220"/>
      <c r="D449" s="278" t="s">
        <v>345</v>
      </c>
      <c r="E449" s="201"/>
      <c r="F449" s="342"/>
      <c r="G449" s="201"/>
      <c r="H449" s="296"/>
      <c r="I449" s="334"/>
    </row>
    <row r="450" spans="1:10" s="260" customFormat="1" ht="12.75" customHeight="1" x14ac:dyDescent="0.2">
      <c r="A450" s="192"/>
      <c r="B450" s="188"/>
      <c r="C450" s="188"/>
      <c r="D450" s="280"/>
      <c r="E450" s="188"/>
      <c r="F450" s="344"/>
      <c r="G450" s="188"/>
      <c r="H450" s="296"/>
      <c r="I450" s="332"/>
    </row>
    <row r="451" spans="1:10" s="260" customFormat="1" ht="12.75" customHeight="1" thickBot="1" x14ac:dyDescent="0.25">
      <c r="A451" s="188"/>
      <c r="B451" s="191"/>
      <c r="C451" s="218"/>
      <c r="D451" s="280" t="s">
        <v>185</v>
      </c>
      <c r="E451" s="203">
        <f>SUBTOTAL(109,E5:E450)</f>
        <v>-87597.950000000012</v>
      </c>
      <c r="F451" s="203">
        <f>SUBTOTAL(109,F5:F450)</f>
        <v>0</v>
      </c>
      <c r="G451" s="203">
        <f>ROUND(SUM(G5:G450),2)</f>
        <v>-87597.95</v>
      </c>
      <c r="H451" s="296"/>
    </row>
    <row r="452" spans="1:10" s="260" customFormat="1" ht="12.75" customHeight="1" thickTop="1" x14ac:dyDescent="0.2">
      <c r="A452" s="188"/>
      <c r="B452" s="191"/>
      <c r="C452" s="218"/>
      <c r="D452" s="188"/>
      <c r="E452" s="188"/>
      <c r="F452" s="239"/>
      <c r="G452" s="202">
        <f>ROUND(G451-E451-F451,2)</f>
        <v>0</v>
      </c>
      <c r="H452" s="296"/>
    </row>
    <row r="453" spans="1:10" s="260" customFormat="1" ht="12.75" customHeight="1" x14ac:dyDescent="0.2">
      <c r="A453" s="188"/>
      <c r="B453" s="191"/>
      <c r="C453" s="218"/>
      <c r="D453" s="188"/>
      <c r="E453" s="188"/>
      <c r="F453" s="239"/>
      <c r="G453" s="188"/>
      <c r="H453" s="296"/>
      <c r="I453" s="196"/>
    </row>
    <row r="454" spans="1:10" s="260" customFormat="1" ht="12.75" customHeight="1" x14ac:dyDescent="0.2">
      <c r="A454" s="188"/>
      <c r="B454" s="191"/>
      <c r="C454" s="260" t="s">
        <v>554</v>
      </c>
      <c r="D454" s="188"/>
      <c r="E454" s="188"/>
      <c r="F454" s="239"/>
      <c r="G454" s="188"/>
      <c r="H454" s="296"/>
    </row>
    <row r="455" spans="1:10" s="260" customFormat="1" ht="12.75" customHeight="1" x14ac:dyDescent="0.2">
      <c r="A455" s="188"/>
      <c r="B455" s="191"/>
      <c r="C455" s="218"/>
      <c r="D455" s="188"/>
      <c r="E455" s="188"/>
      <c r="F455" s="239"/>
      <c r="G455" s="188"/>
      <c r="H455" s="296"/>
    </row>
    <row r="456" spans="1:10" s="260" customFormat="1" ht="12.75" customHeight="1" x14ac:dyDescent="0.2">
      <c r="A456" s="188"/>
      <c r="B456" s="191"/>
      <c r="C456" s="218"/>
      <c r="D456" s="188"/>
      <c r="E456" s="188"/>
      <c r="F456" s="239"/>
      <c r="G456" s="188"/>
      <c r="H456" s="296"/>
      <c r="I456" s="188"/>
    </row>
    <row r="457" spans="1:10" s="260" customFormat="1" ht="12.75" customHeight="1" x14ac:dyDescent="0.2">
      <c r="A457" s="188"/>
      <c r="B457" s="191"/>
      <c r="C457" s="218"/>
      <c r="D457" s="188"/>
      <c r="E457" s="188"/>
      <c r="F457" s="239"/>
      <c r="G457" s="188"/>
      <c r="H457" s="296"/>
      <c r="I457" s="332"/>
    </row>
    <row r="458" spans="1:10" s="260" customFormat="1" ht="12.75" customHeight="1" x14ac:dyDescent="0.2">
      <c r="A458" s="269"/>
      <c r="B458" s="191"/>
      <c r="C458" s="242"/>
      <c r="D458" s="269" t="s">
        <v>255</v>
      </c>
      <c r="E458" s="202">
        <f>Consolidated!I143</f>
        <v>-87597.950000000012</v>
      </c>
      <c r="F458" s="239"/>
      <c r="G458" s="202">
        <f t="shared" ref="G458:G463" si="0">E458+F458</f>
        <v>-87597.950000000012</v>
      </c>
      <c r="H458" s="296"/>
      <c r="I458" s="558">
        <f>E458-E414</f>
        <v>-95880.13</v>
      </c>
      <c r="J458" s="260" t="s">
        <v>552</v>
      </c>
    </row>
    <row r="459" spans="1:10" s="260" customFormat="1" ht="12.75" hidden="1" customHeight="1" x14ac:dyDescent="0.2">
      <c r="A459" s="188"/>
      <c r="B459" s="188"/>
      <c r="C459" s="188"/>
      <c r="D459" s="197" t="s">
        <v>279</v>
      </c>
      <c r="E459" s="188"/>
      <c r="F459" s="259">
        <f>SUM(SUMIF(D$5:D$450,D459,F$5:F$450))</f>
        <v>0</v>
      </c>
      <c r="G459" s="202">
        <f t="shared" si="0"/>
        <v>0</v>
      </c>
      <c r="H459" s="296"/>
      <c r="I459" s="514"/>
    </row>
    <row r="460" spans="1:10" ht="12.75" hidden="1" customHeight="1" x14ac:dyDescent="0.2">
      <c r="D460" s="512" t="s">
        <v>498</v>
      </c>
      <c r="F460" s="259">
        <f t="shared" ref="F460:F477" si="1">SUM(SUMIF(D$5:D$450,D460,F$5:F$450))</f>
        <v>0</v>
      </c>
      <c r="G460" s="202">
        <f t="shared" si="0"/>
        <v>0</v>
      </c>
      <c r="H460" s="297"/>
    </row>
    <row r="461" spans="1:10" ht="12.75" hidden="1" customHeight="1" x14ac:dyDescent="0.2">
      <c r="D461" s="197" t="s">
        <v>363</v>
      </c>
      <c r="F461" s="259">
        <f t="shared" si="1"/>
        <v>0</v>
      </c>
      <c r="G461" s="202">
        <f t="shared" si="0"/>
        <v>0</v>
      </c>
    </row>
    <row r="462" spans="1:10" ht="12.75" hidden="1" customHeight="1" x14ac:dyDescent="0.2">
      <c r="D462" s="197" t="s">
        <v>364</v>
      </c>
      <c r="F462" s="259">
        <f t="shared" si="1"/>
        <v>0</v>
      </c>
      <c r="G462" s="202">
        <f t="shared" si="0"/>
        <v>0</v>
      </c>
    </row>
    <row r="463" spans="1:10" ht="12.75" hidden="1" customHeight="1" x14ac:dyDescent="0.2">
      <c r="D463" s="386" t="s">
        <v>361</v>
      </c>
      <c r="F463" s="259">
        <f t="shared" si="1"/>
        <v>0</v>
      </c>
      <c r="G463" s="202">
        <f t="shared" si="0"/>
        <v>0</v>
      </c>
    </row>
    <row r="464" spans="1:10" ht="12.75" hidden="1" customHeight="1" x14ac:dyDescent="0.2">
      <c r="D464" s="197" t="s">
        <v>281</v>
      </c>
      <c r="F464" s="259">
        <f t="shared" si="1"/>
        <v>0</v>
      </c>
      <c r="G464" s="202">
        <f t="shared" ref="G464:G469" si="2">E464+F464</f>
        <v>0</v>
      </c>
    </row>
    <row r="465" spans="1:10" ht="12.75" hidden="1" customHeight="1" x14ac:dyDescent="0.2">
      <c r="D465" s="197" t="s">
        <v>354</v>
      </c>
      <c r="F465" s="259">
        <f t="shared" si="1"/>
        <v>0</v>
      </c>
      <c r="G465" s="202">
        <f t="shared" si="2"/>
        <v>0</v>
      </c>
    </row>
    <row r="466" spans="1:10" ht="12.75" hidden="1" customHeight="1" x14ac:dyDescent="0.2">
      <c r="D466" s="188" t="s">
        <v>289</v>
      </c>
      <c r="F466" s="259">
        <f t="shared" si="1"/>
        <v>0</v>
      </c>
      <c r="G466" s="202">
        <f t="shared" si="2"/>
        <v>0</v>
      </c>
    </row>
    <row r="467" spans="1:10" ht="12.75" hidden="1" customHeight="1" x14ac:dyDescent="0.2">
      <c r="A467" s="195"/>
      <c r="B467" s="196"/>
      <c r="C467" s="219"/>
      <c r="D467" s="197" t="s">
        <v>258</v>
      </c>
      <c r="E467" s="198"/>
      <c r="F467" s="259">
        <f t="shared" si="1"/>
        <v>0</v>
      </c>
      <c r="G467" s="202">
        <f t="shared" si="2"/>
        <v>0</v>
      </c>
    </row>
    <row r="468" spans="1:10" ht="12.75" hidden="1" customHeight="1" x14ac:dyDescent="0.2">
      <c r="D468" s="314" t="s">
        <v>316</v>
      </c>
      <c r="F468" s="259">
        <f t="shared" si="1"/>
        <v>0</v>
      </c>
      <c r="G468" s="202">
        <f t="shared" si="2"/>
        <v>0</v>
      </c>
      <c r="J468" s="202"/>
    </row>
    <row r="469" spans="1:10" ht="12.75" customHeight="1" x14ac:dyDescent="0.2">
      <c r="D469" s="314" t="s">
        <v>285</v>
      </c>
      <c r="F469" s="259">
        <f t="shared" si="1"/>
        <v>0</v>
      </c>
      <c r="G469" s="202">
        <f t="shared" si="2"/>
        <v>0</v>
      </c>
      <c r="J469" s="202"/>
    </row>
    <row r="470" spans="1:10" ht="12.75" customHeight="1" x14ac:dyDescent="0.2">
      <c r="D470" s="188" t="s">
        <v>230</v>
      </c>
      <c r="F470" s="259">
        <f t="shared" si="1"/>
        <v>0</v>
      </c>
      <c r="G470" s="202">
        <f t="shared" ref="G470:G479" si="3">E470+F470</f>
        <v>0</v>
      </c>
      <c r="J470" s="202"/>
    </row>
    <row r="471" spans="1:10" ht="12.75" customHeight="1" x14ac:dyDescent="0.2">
      <c r="D471" s="188" t="s">
        <v>231</v>
      </c>
      <c r="F471" s="259">
        <f>SUM(SUMIF(D$5:D$450,D471,F$5:F$450))</f>
        <v>0</v>
      </c>
      <c r="G471" s="202">
        <f t="shared" si="3"/>
        <v>0</v>
      </c>
      <c r="J471" s="202"/>
    </row>
    <row r="472" spans="1:10" ht="12.75" customHeight="1" x14ac:dyDescent="0.2">
      <c r="D472" s="242" t="s">
        <v>459</v>
      </c>
      <c r="F472" s="259">
        <f t="shared" si="1"/>
        <v>0</v>
      </c>
      <c r="G472" s="202">
        <f t="shared" si="3"/>
        <v>0</v>
      </c>
      <c r="J472" s="202"/>
    </row>
    <row r="473" spans="1:10" ht="12.75" customHeight="1" x14ac:dyDescent="0.2">
      <c r="D473" s="188" t="s">
        <v>337</v>
      </c>
      <c r="F473" s="259">
        <f t="shared" si="1"/>
        <v>0</v>
      </c>
      <c r="G473" s="202">
        <f t="shared" si="3"/>
        <v>0</v>
      </c>
      <c r="J473" s="202"/>
    </row>
    <row r="474" spans="1:10" ht="12.75" hidden="1" customHeight="1" x14ac:dyDescent="0.2">
      <c r="A474" s="195"/>
      <c r="B474" s="196"/>
      <c r="C474" s="219"/>
      <c r="D474" s="197" t="s">
        <v>303</v>
      </c>
      <c r="E474" s="198"/>
      <c r="F474" s="259">
        <f t="shared" si="1"/>
        <v>0</v>
      </c>
      <c r="G474" s="202">
        <f t="shared" si="3"/>
        <v>0</v>
      </c>
    </row>
    <row r="475" spans="1:10" ht="12.75" hidden="1" customHeight="1" x14ac:dyDescent="0.2">
      <c r="D475" s="242" t="s">
        <v>357</v>
      </c>
      <c r="F475" s="259">
        <f t="shared" si="1"/>
        <v>0</v>
      </c>
      <c r="G475" s="202">
        <f t="shared" si="3"/>
        <v>0</v>
      </c>
    </row>
    <row r="476" spans="1:10" ht="12.75" hidden="1" customHeight="1" x14ac:dyDescent="0.2">
      <c r="D476" s="242" t="s">
        <v>356</v>
      </c>
      <c r="F476" s="259">
        <f t="shared" si="1"/>
        <v>0</v>
      </c>
      <c r="G476" s="202">
        <f t="shared" si="3"/>
        <v>0</v>
      </c>
    </row>
    <row r="477" spans="1:10" s="260" customFormat="1" ht="12.75" hidden="1" customHeight="1" x14ac:dyDescent="0.2">
      <c r="A477" s="188"/>
      <c r="B477" s="188"/>
      <c r="C477" s="188"/>
      <c r="D477" s="242" t="s">
        <v>358</v>
      </c>
      <c r="E477" s="188"/>
      <c r="F477" s="259">
        <f t="shared" si="1"/>
        <v>0</v>
      </c>
      <c r="G477" s="202">
        <f t="shared" si="3"/>
        <v>0</v>
      </c>
      <c r="H477" s="296"/>
      <c r="I477" s="332"/>
    </row>
    <row r="478" spans="1:10" ht="12.75" customHeight="1" x14ac:dyDescent="0.2">
      <c r="D478" s="197" t="s">
        <v>535</v>
      </c>
      <c r="F478" s="345">
        <f>SUM(SUMIF(D$5:D$450,"*WPB*",F$5:F$450))</f>
        <v>0</v>
      </c>
      <c r="G478" s="202">
        <f t="shared" si="3"/>
        <v>0</v>
      </c>
    </row>
    <row r="479" spans="1:10" ht="12.75" hidden="1" customHeight="1" x14ac:dyDescent="0.2">
      <c r="D479" s="197" t="s">
        <v>534</v>
      </c>
      <c r="F479" s="345">
        <f>SUM(SUMIF(D$5:D$450,"*Receivable Collection*",F$5:F$450))</f>
        <v>0</v>
      </c>
      <c r="G479" s="202">
        <f t="shared" si="3"/>
        <v>0</v>
      </c>
    </row>
    <row r="480" spans="1:10" ht="12.75" customHeight="1" thickBot="1" x14ac:dyDescent="0.25">
      <c r="D480" s="283" t="s">
        <v>250</v>
      </c>
      <c r="E480" s="203">
        <f>SUM(E458:E479)</f>
        <v>-87597.950000000012</v>
      </c>
      <c r="F480" s="203">
        <f>SUM(F458:F479)</f>
        <v>0</v>
      </c>
      <c r="G480" s="203">
        <f>SUM(G458:G479)</f>
        <v>-87597.950000000012</v>
      </c>
    </row>
    <row r="481" spans="1:9" ht="12.75" customHeight="1" thickTop="1" x14ac:dyDescent="0.2">
      <c r="D481" s="283"/>
      <c r="E481" s="513"/>
      <c r="F481" s="513"/>
      <c r="G481" s="513"/>
    </row>
    <row r="482" spans="1:9" ht="12.75" customHeight="1" x14ac:dyDescent="0.2">
      <c r="D482" s="283"/>
      <c r="E482" s="513"/>
      <c r="F482" s="513"/>
      <c r="G482" s="513"/>
    </row>
    <row r="483" spans="1:9" ht="12" customHeight="1" x14ac:dyDescent="0.2">
      <c r="D483" s="283"/>
      <c r="E483" s="513"/>
      <c r="F483" s="513"/>
      <c r="G483" s="513"/>
    </row>
    <row r="484" spans="1:9" ht="12.75" customHeight="1" thickBot="1" x14ac:dyDescent="0.25">
      <c r="E484" s="202"/>
      <c r="F484" s="202"/>
      <c r="G484" s="202"/>
    </row>
    <row r="485" spans="1:9" ht="12.75" customHeight="1" thickBot="1" x14ac:dyDescent="0.25">
      <c r="C485" s="565" t="s">
        <v>278</v>
      </c>
      <c r="D485" s="566"/>
      <c r="E485" s="566"/>
      <c r="F485" s="566"/>
      <c r="G485" s="567"/>
    </row>
    <row r="486" spans="1:9" s="260" customFormat="1" ht="12.75" customHeight="1" x14ac:dyDescent="0.2">
      <c r="A486" s="188"/>
      <c r="B486" s="188"/>
      <c r="C486" s="383"/>
      <c r="D486" s="384"/>
      <c r="E486" s="384"/>
      <c r="F486" s="508"/>
      <c r="G486" s="509"/>
      <c r="H486" s="296"/>
      <c r="I486" s="188"/>
    </row>
    <row r="487" spans="1:9" ht="12.75" customHeight="1" x14ac:dyDescent="0.2">
      <c r="C487" s="568" t="s">
        <v>553</v>
      </c>
      <c r="D487" s="569"/>
      <c r="E487" s="569"/>
      <c r="F487" s="569"/>
      <c r="G487" s="570"/>
    </row>
    <row r="488" spans="1:9" ht="12.75" customHeight="1" x14ac:dyDescent="0.2">
      <c r="C488" s="568"/>
      <c r="D488" s="569"/>
      <c r="E488" s="569"/>
      <c r="F488" s="569"/>
      <c r="G488" s="570"/>
    </row>
    <row r="489" spans="1:9" ht="12.75" customHeight="1" x14ac:dyDescent="0.2">
      <c r="C489" s="396"/>
      <c r="D489" s="384"/>
      <c r="E489" s="384"/>
      <c r="F489" s="508"/>
      <c r="G489" s="510"/>
    </row>
    <row r="490" spans="1:9" ht="12.75" customHeight="1" x14ac:dyDescent="0.2">
      <c r="C490" s="396"/>
      <c r="D490" s="384"/>
      <c r="E490" s="384"/>
      <c r="F490" s="508"/>
      <c r="G490" s="510"/>
    </row>
    <row r="491" spans="1:9" ht="12.75" customHeight="1" thickBot="1" x14ac:dyDescent="0.25">
      <c r="C491" s="393"/>
      <c r="D491" s="385"/>
      <c r="E491" s="385"/>
      <c r="F491" s="385"/>
      <c r="G491" s="511"/>
      <c r="H491" s="307"/>
      <c r="I491" s="260"/>
    </row>
    <row r="492" spans="1:9" ht="12.75" customHeight="1" x14ac:dyDescent="0.2">
      <c r="H492" s="307"/>
      <c r="I492" s="260"/>
    </row>
    <row r="493" spans="1:9" ht="12.75" customHeight="1" x14ac:dyDescent="0.2">
      <c r="H493" s="307"/>
      <c r="I493" s="260"/>
    </row>
    <row r="494" spans="1:9" ht="12.75" customHeight="1" x14ac:dyDescent="0.2">
      <c r="H494" s="307"/>
      <c r="I494" s="260"/>
    </row>
    <row r="495" spans="1:9" ht="12.75" customHeight="1" x14ac:dyDescent="0.2">
      <c r="H495" s="307"/>
      <c r="I495" s="260"/>
    </row>
    <row r="496" spans="1:9" ht="12.75" customHeight="1" x14ac:dyDescent="0.2">
      <c r="H496" s="307"/>
      <c r="I496" s="260"/>
    </row>
    <row r="497" spans="5:11" ht="12.75" customHeight="1" x14ac:dyDescent="0.2">
      <c r="H497" s="307"/>
      <c r="I497" s="260"/>
    </row>
    <row r="498" spans="5:11" ht="12.75" customHeight="1" x14ac:dyDescent="0.2">
      <c r="H498" s="307"/>
      <c r="I498" s="260"/>
    </row>
    <row r="499" spans="5:11" ht="12.75" customHeight="1" x14ac:dyDescent="0.2">
      <c r="H499" s="307"/>
      <c r="I499" s="260"/>
    </row>
    <row r="500" spans="5:11" ht="12.75" customHeight="1" x14ac:dyDescent="0.2">
      <c r="H500" s="307"/>
      <c r="I500" s="260"/>
    </row>
    <row r="501" spans="5:11" ht="12.75" customHeight="1" x14ac:dyDescent="0.2">
      <c r="H501" s="252"/>
    </row>
    <row r="502" spans="5:11" ht="12.75" customHeight="1" x14ac:dyDescent="0.2">
      <c r="E502" s="295"/>
      <c r="F502" s="188"/>
    </row>
    <row r="503" spans="5:11" ht="12.75" customHeight="1" x14ac:dyDescent="0.2">
      <c r="E503" s="295"/>
      <c r="F503" s="188"/>
    </row>
    <row r="505" spans="5:11" ht="12.75" customHeight="1" x14ac:dyDescent="0.2">
      <c r="K505" s="295"/>
    </row>
    <row r="506" spans="5:11" ht="12.75" customHeight="1" x14ac:dyDescent="0.2">
      <c r="K506" s="295"/>
    </row>
    <row r="512" spans="5:11" ht="12.75" customHeight="1" x14ac:dyDescent="0.2">
      <c r="H512" s="188"/>
    </row>
    <row r="513" spans="8:8" ht="12.75" customHeight="1" x14ac:dyDescent="0.2">
      <c r="H513" s="188"/>
    </row>
  </sheetData>
  <mergeCells count="3">
    <mergeCell ref="F3:G3"/>
    <mergeCell ref="C485:G485"/>
    <mergeCell ref="C487:G488"/>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85">
    <cfRule type="cellIs" dxfId="5" priority="301" stopIfTrue="1" operator="notEqual">
      <formula>0</formula>
    </cfRule>
    <cfRule type="cellIs" dxfId="4" priority="302" stopIfTrue="1" operator="equal">
      <formula>0</formula>
    </cfRule>
  </conditionalFormatting>
  <conditionalFormatting sqref="H487:H489">
    <cfRule type="cellIs" dxfId="3" priority="299" stopIfTrue="1" operator="notEqual">
      <formula>0</formula>
    </cfRule>
    <cfRule type="cellIs" dxfId="2" priority="300" stopIfTrue="1" operator="equal">
      <formula>0</formula>
    </cfRule>
  </conditionalFormatting>
  <pageMargins left="0.25" right="0.1" top="0.5" bottom="0.5" header="0" footer="0.1"/>
  <pageSetup scale="91" fitToHeight="0" orientation="portrait" r:id="rId1"/>
  <headerFooter>
    <oddFooter>&amp;L&amp;8&amp;Z&amp;F&amp;R&amp;8&amp;P /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286</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75.58</v>
      </c>
      <c r="D14" s="141">
        <v>78.36</v>
      </c>
      <c r="E14" s="187">
        <f>IF(D$30=0,C14*2,C14+D14)</f>
        <v>153.94</v>
      </c>
      <c r="F14" s="687">
        <f>'1461'!F14:G14</f>
        <v>1.1220000000000001</v>
      </c>
      <c r="G14" s="687"/>
      <c r="H14" s="145">
        <f>ROUND(E14*F14,4)</f>
        <v>172.72069999999999</v>
      </c>
      <c r="I14" s="111">
        <f>ROUND(ROUND(ROUND(H14*$C$8,4)*($H$8),2)*(MAX($H$9,1)),2)</f>
        <v>926975.77</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6</v>
      </c>
      <c r="D15" s="143">
        <v>6</v>
      </c>
      <c r="E15" s="116">
        <f t="shared" ref="E15:E29" si="1">IF(D$30=0,C15*2,C15+D15)</f>
        <v>12</v>
      </c>
      <c r="F15" s="679">
        <f>'1461'!F15:G15</f>
        <v>1.1220000000000001</v>
      </c>
      <c r="G15" s="679"/>
      <c r="H15" s="80">
        <f t="shared" ref="H15:H29" si="2">ROUND(E15*F15,4)</f>
        <v>13.464</v>
      </c>
      <c r="I15" s="101">
        <f t="shared" ref="I15:I29" si="3">ROUND(ROUND(ROUND(H15*$C$8,4)*($H$8),2)*(MAX($H$9,1)),2)</f>
        <v>72260.02</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103.35</v>
      </c>
      <c r="D16" s="143">
        <v>106.4</v>
      </c>
      <c r="E16" s="116">
        <f t="shared" si="1"/>
        <v>209.75</v>
      </c>
      <c r="F16" s="679">
        <f>'1461'!F16:G16</f>
        <v>1</v>
      </c>
      <c r="G16" s="679"/>
      <c r="H16" s="80">
        <f t="shared" si="2"/>
        <v>209.75</v>
      </c>
      <c r="I16" s="101">
        <f t="shared" si="3"/>
        <v>1125708.55</v>
      </c>
      <c r="N16" s="621" t="s">
        <v>22</v>
      </c>
      <c r="O16" s="621"/>
      <c r="P16" s="662">
        <f t="shared" si="0"/>
        <v>0</v>
      </c>
      <c r="Q16" s="662"/>
      <c r="R16" s="667">
        <v>1</v>
      </c>
      <c r="S16" s="667"/>
      <c r="T16" s="95">
        <f t="shared" si="4"/>
        <v>0</v>
      </c>
      <c r="U16" s="486">
        <f t="shared" si="5"/>
        <v>0</v>
      </c>
    </row>
    <row r="17" spans="1:21" x14ac:dyDescent="0.25">
      <c r="A17" s="596" t="s">
        <v>23</v>
      </c>
      <c r="B17" s="596"/>
      <c r="C17" s="143">
        <v>21.44</v>
      </c>
      <c r="D17" s="143">
        <v>20</v>
      </c>
      <c r="E17" s="116">
        <f t="shared" si="1"/>
        <v>41.44</v>
      </c>
      <c r="F17" s="679">
        <f>'1461'!F17:G17</f>
        <v>1</v>
      </c>
      <c r="G17" s="679"/>
      <c r="H17" s="80">
        <f t="shared" si="2"/>
        <v>41.44</v>
      </c>
      <c r="I17" s="101">
        <f t="shared" si="3"/>
        <v>222404.59</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41.75</v>
      </c>
      <c r="D26" s="143">
        <v>40.64</v>
      </c>
      <c r="E26" s="116">
        <f t="shared" si="1"/>
        <v>82.39</v>
      </c>
      <c r="F26" s="679">
        <f>'1461'!F26:G26</f>
        <v>1.208</v>
      </c>
      <c r="G26" s="679"/>
      <c r="H26" s="80">
        <f t="shared" si="2"/>
        <v>99.527100000000004</v>
      </c>
      <c r="I26" s="101">
        <f t="shared" si="3"/>
        <v>534152.6</v>
      </c>
      <c r="N26" s="621" t="s">
        <v>85</v>
      </c>
      <c r="O26" s="621"/>
      <c r="P26" s="662">
        <f t="shared" si="0"/>
        <v>0</v>
      </c>
      <c r="Q26" s="662"/>
      <c r="R26" s="667">
        <v>1</v>
      </c>
      <c r="S26" s="667"/>
      <c r="T26" s="95">
        <f t="shared" si="4"/>
        <v>0</v>
      </c>
      <c r="U26" s="486">
        <f t="shared" si="5"/>
        <v>0</v>
      </c>
    </row>
    <row r="27" spans="1:21" x14ac:dyDescent="0.25">
      <c r="A27" s="596" t="s">
        <v>86</v>
      </c>
      <c r="B27" s="596"/>
      <c r="C27" s="143">
        <v>15.09</v>
      </c>
      <c r="D27" s="143">
        <v>9.59</v>
      </c>
      <c r="E27" s="116">
        <f t="shared" si="1"/>
        <v>24.68</v>
      </c>
      <c r="F27" s="679">
        <f>'1461'!F27:G27</f>
        <v>1.208</v>
      </c>
      <c r="G27" s="679"/>
      <c r="H27" s="80">
        <f t="shared" si="2"/>
        <v>29.813400000000001</v>
      </c>
      <c r="I27" s="101">
        <f t="shared" si="3"/>
        <v>160005.72</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263.20999999999998</v>
      </c>
      <c r="D30" s="94">
        <f>SUM(D14:D29)</f>
        <v>260.98999999999995</v>
      </c>
      <c r="E30" s="94">
        <f>SUM(E14:E29)</f>
        <v>524.19999999999993</v>
      </c>
      <c r="F30" s="600"/>
      <c r="G30" s="600"/>
      <c r="H30" s="99">
        <f>SUM(H14:H29)</f>
        <v>566.71519999999998</v>
      </c>
      <c r="I30" s="94">
        <f>SUM(I14:I29)</f>
        <v>3041507.25</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566.71519999999998</v>
      </c>
      <c r="F46" s="34"/>
      <c r="G46" s="106"/>
      <c r="H46" s="107" t="s">
        <v>98</v>
      </c>
      <c r="I46" s="94">
        <f>SUM(I44,I30)</f>
        <v>3041507.25</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2950499.01</v>
      </c>
      <c r="G51" s="109" t="s">
        <v>6</v>
      </c>
      <c r="H51" s="415">
        <v>4.5199999999999997E-2</v>
      </c>
      <c r="I51" s="101">
        <f>ROUND(F51*H51,2)</f>
        <v>133362.56</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2950499.01</v>
      </c>
      <c r="G52" s="109" t="s">
        <v>6</v>
      </c>
      <c r="H52" s="415">
        <v>1.41E-2</v>
      </c>
      <c r="I52" s="101">
        <f>ROUND(F52*H52,2)</f>
        <v>41602.04</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174964.6</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6</v>
      </c>
      <c r="D57" s="143">
        <v>6</v>
      </c>
      <c r="E57" s="116">
        <f t="shared" ref="E57:E65" si="10">IF(D$66=0,C57*2,C57+D57)</f>
        <v>12</v>
      </c>
      <c r="F57" s="456" t="s">
        <v>462</v>
      </c>
      <c r="G57" s="456">
        <v>251</v>
      </c>
      <c r="H57" s="470">
        <f>'1461'!H57</f>
        <v>1047</v>
      </c>
      <c r="I57" s="101">
        <f>ROUND(E57*H57,2)</f>
        <v>12564</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21.44</v>
      </c>
      <c r="D60" s="143">
        <v>19.5</v>
      </c>
      <c r="E60" s="116">
        <f t="shared" si="10"/>
        <v>40.94</v>
      </c>
      <c r="F60" s="457" t="s">
        <v>13</v>
      </c>
      <c r="G60" s="456">
        <v>251</v>
      </c>
      <c r="H60" s="470">
        <f>'1461'!H60</f>
        <v>1173</v>
      </c>
      <c r="I60" s="101">
        <f t="shared" si="11"/>
        <v>48022.62</v>
      </c>
      <c r="N60" s="639"/>
      <c r="O60" s="639"/>
      <c r="P60" s="642"/>
      <c r="Q60" s="642"/>
      <c r="R60" s="40" t="s">
        <v>13</v>
      </c>
      <c r="S60" s="462">
        <v>251</v>
      </c>
      <c r="T60" s="473">
        <f t="shared" si="12"/>
        <v>1173</v>
      </c>
      <c r="U60" s="487">
        <f t="shared" si="13"/>
        <v>0</v>
      </c>
      <c r="V60" s="438"/>
    </row>
    <row r="61" spans="1:22" x14ac:dyDescent="0.25">
      <c r="A61" s="607"/>
      <c r="B61" s="607"/>
      <c r="C61" s="143">
        <v>0</v>
      </c>
      <c r="D61" s="143">
        <v>0.5</v>
      </c>
      <c r="E61" s="116">
        <f t="shared" si="10"/>
        <v>0.5</v>
      </c>
      <c r="F61" s="457" t="s">
        <v>13</v>
      </c>
      <c r="G61" s="456">
        <v>252</v>
      </c>
      <c r="H61" s="470">
        <f>'1461'!H61</f>
        <v>3506</v>
      </c>
      <c r="I61" s="101">
        <f t="shared" si="11"/>
        <v>1753</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27.44</v>
      </c>
      <c r="D66" s="97">
        <f>SUM(D57:D65)</f>
        <v>26</v>
      </c>
      <c r="E66" s="97">
        <f>SUM(E57:E65)</f>
        <v>53.44</v>
      </c>
      <c r="F66" s="608" t="s">
        <v>471</v>
      </c>
      <c r="G66" s="608"/>
      <c r="H66" s="608"/>
      <c r="I66" s="97">
        <f>SUM(I57:I65)</f>
        <v>62339.62</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524.19999999999993</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2.5860000000000002E-3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566.71519999999998</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2.4849999999999998E-3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524.19999999999993</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2.807E-3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524.19999999999993</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2.591E-3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524.19999999999993</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2.813E-3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2.591E-3</v>
      </c>
      <c r="I85" s="101">
        <f>ROUND(F85*H85,2)</f>
        <v>115306.36</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2.5860000000000002E-3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2.813E-3</v>
      </c>
      <c r="I90" s="101">
        <f>ROUND(F90*H90,2)</f>
        <v>45877.69</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2.807E-3</v>
      </c>
      <c r="I92" s="101">
        <f t="shared" ref="I92:I96" si="14">ROUND(F92*H92,2)</f>
        <v>28487.27</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2.4849999999999998E-3</v>
      </c>
      <c r="I94" s="101">
        <f t="shared" si="14"/>
        <v>593909.22</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2.4849999999999998E-3</v>
      </c>
      <c r="I96" s="101">
        <f t="shared" si="14"/>
        <v>0</v>
      </c>
      <c r="N96" s="620" t="s">
        <v>446</v>
      </c>
      <c r="O96" s="621"/>
      <c r="P96" s="621"/>
      <c r="Q96" s="44"/>
      <c r="R96" s="433">
        <f t="shared" si="15"/>
        <v>0</v>
      </c>
      <c r="S96" s="38" t="s">
        <v>6</v>
      </c>
      <c r="T96" s="435">
        <f>T73</f>
        <v>0</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2.5860000000000002E-3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285.71179999999998</v>
      </c>
      <c r="D104" s="614"/>
      <c r="E104" s="46">
        <f>H8</f>
        <v>1.0442</v>
      </c>
      <c r="F104" s="302">
        <f>'1461'!F104</f>
        <v>947.59</v>
      </c>
      <c r="G104" s="39" t="s">
        <v>12</v>
      </c>
      <c r="H104" s="101">
        <f>ROUND(C104*E104*F104,2)</f>
        <v>282704.25</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281.0034</v>
      </c>
      <c r="D105" s="614"/>
      <c r="E105" s="46">
        <f>H8</f>
        <v>1.0442</v>
      </c>
      <c r="F105" s="302">
        <f>'1461'!F105</f>
        <v>904.74</v>
      </c>
      <c r="G105" s="39" t="s">
        <v>12</v>
      </c>
      <c r="H105" s="101">
        <f>ROUND(C105*E105*F105,2)</f>
        <v>265472.2</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566.71519999999998</v>
      </c>
      <c r="D107" s="604"/>
      <c r="E107" s="123"/>
      <c r="F107" s="123"/>
      <c r="G107" s="123"/>
      <c r="H107" s="124" t="s">
        <v>100</v>
      </c>
      <c r="I107" s="101">
        <f>IF(A1=75,0,H106+H105+H104)</f>
        <v>548176.44999999995</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25</v>
      </c>
      <c r="D113" s="143">
        <v>22</v>
      </c>
      <c r="E113" s="116">
        <f>(C113+D113)/2</f>
        <v>23.5</v>
      </c>
      <c r="F113" s="126" t="s">
        <v>30</v>
      </c>
      <c r="G113" s="303">
        <f>'1461'!G113</f>
        <v>536</v>
      </c>
      <c r="I113" s="101">
        <f>ROUND(G113*E113,2)</f>
        <v>12596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4448199.8600000003</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4273235.2600000007</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4273235.2600000007</v>
      </c>
      <c r="I135" s="94">
        <f>ROUND(IF(E30=0,0,IF(E30&gt;250,-(((250/E30)*H135)*IF(G135="H",0.02,0.05)),IF(G135="H",-0.02*H135,-0.05*H135))),2)</f>
        <v>-101898.97</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4346300.8900000006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-4351715.120000001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-5414.230000000447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-5414.23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111762.79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120</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260.5</v>
      </c>
      <c r="D18" s="143">
        <v>254.95</v>
      </c>
      <c r="E18" s="116">
        <f t="shared" si="1"/>
        <v>515.45000000000005</v>
      </c>
      <c r="F18" s="679">
        <f>'1461'!F18:G18</f>
        <v>0.98799999999999999</v>
      </c>
      <c r="G18" s="679"/>
      <c r="H18" s="80">
        <f t="shared" si="2"/>
        <v>509.26459999999997</v>
      </c>
      <c r="I18" s="101">
        <f t="shared" si="3"/>
        <v>2733175.27</v>
      </c>
      <c r="N18" s="621" t="s">
        <v>24</v>
      </c>
      <c r="O18" s="621"/>
      <c r="P18" s="662">
        <f t="shared" si="0"/>
        <v>0</v>
      </c>
      <c r="Q18" s="662"/>
      <c r="R18" s="667">
        <v>1</v>
      </c>
      <c r="S18" s="667"/>
      <c r="T18" s="95">
        <f t="shared" si="4"/>
        <v>0</v>
      </c>
      <c r="U18" s="486">
        <f t="shared" si="5"/>
        <v>0</v>
      </c>
    </row>
    <row r="19" spans="1:21" x14ac:dyDescent="0.25">
      <c r="A19" s="596" t="s">
        <v>25</v>
      </c>
      <c r="B19" s="596"/>
      <c r="C19" s="143">
        <v>44.14</v>
      </c>
      <c r="D19" s="143">
        <v>39.950000000000003</v>
      </c>
      <c r="E19" s="116">
        <f t="shared" si="1"/>
        <v>84.09</v>
      </c>
      <c r="F19" s="679">
        <f>'1461'!F19:G19</f>
        <v>0.98799999999999999</v>
      </c>
      <c r="G19" s="679"/>
      <c r="H19" s="80">
        <f t="shared" si="2"/>
        <v>83.0809</v>
      </c>
      <c r="I19" s="101">
        <f t="shared" si="3"/>
        <v>445887.39</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11.16</v>
      </c>
      <c r="D28" s="143">
        <v>11.09</v>
      </c>
      <c r="E28" s="116">
        <f t="shared" si="1"/>
        <v>22.25</v>
      </c>
      <c r="F28" s="679">
        <f>'1461'!F28:G28</f>
        <v>1.208</v>
      </c>
      <c r="G28" s="679"/>
      <c r="H28" s="80">
        <f t="shared" si="2"/>
        <v>26.878</v>
      </c>
      <c r="I28" s="101">
        <f t="shared" si="3"/>
        <v>144251.70000000001</v>
      </c>
      <c r="N28" s="621" t="s">
        <v>87</v>
      </c>
      <c r="O28" s="621"/>
      <c r="P28" s="662">
        <f t="shared" si="0"/>
        <v>0</v>
      </c>
      <c r="Q28" s="662"/>
      <c r="R28" s="667">
        <v>1</v>
      </c>
      <c r="S28" s="667"/>
      <c r="T28" s="95">
        <f t="shared" si="4"/>
        <v>0</v>
      </c>
      <c r="U28" s="486">
        <f t="shared" si="5"/>
        <v>0</v>
      </c>
    </row>
    <row r="29" spans="1:21" x14ac:dyDescent="0.25">
      <c r="A29" s="596" t="s">
        <v>88</v>
      </c>
      <c r="B29" s="596"/>
      <c r="C29" s="110">
        <v>26.72</v>
      </c>
      <c r="D29" s="110">
        <v>26.33</v>
      </c>
      <c r="E29" s="116">
        <f t="shared" si="1"/>
        <v>53.05</v>
      </c>
      <c r="F29" s="679">
        <f>'1461'!F29:G29</f>
        <v>1.0720000000000001</v>
      </c>
      <c r="G29" s="679"/>
      <c r="H29" s="93">
        <f t="shared" si="2"/>
        <v>56.869599999999998</v>
      </c>
      <c r="I29" s="94">
        <f t="shared" si="3"/>
        <v>305213.8</v>
      </c>
      <c r="N29" s="636" t="s">
        <v>88</v>
      </c>
      <c r="O29" s="636"/>
      <c r="P29" s="662">
        <f t="shared" si="0"/>
        <v>0</v>
      </c>
      <c r="Q29" s="662"/>
      <c r="R29" s="663">
        <v>1</v>
      </c>
      <c r="S29" s="663"/>
      <c r="T29" s="95">
        <f t="shared" si="4"/>
        <v>0</v>
      </c>
      <c r="U29" s="486">
        <f t="shared" si="5"/>
        <v>0</v>
      </c>
    </row>
    <row r="30" spans="1:21" x14ac:dyDescent="0.25">
      <c r="A30" s="608" t="s">
        <v>5</v>
      </c>
      <c r="B30" s="608"/>
      <c r="C30" s="94">
        <f>SUM(C14:C29)</f>
        <v>342.52</v>
      </c>
      <c r="D30" s="94">
        <f>SUM(D14:D29)</f>
        <v>332.31999999999994</v>
      </c>
      <c r="E30" s="97">
        <f>SUM(E14:E29)</f>
        <v>674.84</v>
      </c>
      <c r="F30" s="600"/>
      <c r="G30" s="600"/>
      <c r="H30" s="99">
        <f>SUM(H14:H29)</f>
        <v>676.09310000000005</v>
      </c>
      <c r="I30" s="94">
        <f>SUM(I14:I29)</f>
        <v>3628528.16</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676.09310000000005</v>
      </c>
      <c r="F46" s="34"/>
      <c r="G46" s="106"/>
      <c r="H46" s="107" t="s">
        <v>98</v>
      </c>
      <c r="I46" s="94">
        <f>SUM(I44,I30)</f>
        <v>3628528.16</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3962466.72</v>
      </c>
      <c r="G51" s="109" t="s">
        <v>6</v>
      </c>
      <c r="H51" s="415">
        <v>4.5199999999999997E-2</v>
      </c>
      <c r="I51" s="101">
        <f>ROUND(F51*H51,2)</f>
        <v>179103.5</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3962466.72</v>
      </c>
      <c r="G52" s="109" t="s">
        <v>6</v>
      </c>
      <c r="H52" s="415">
        <v>1.41E-2</v>
      </c>
      <c r="I52" s="101">
        <f>ROUND(F52*H52,2)</f>
        <v>55870.78</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234974.28</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40.119999999999997</v>
      </c>
      <c r="D63" s="143">
        <v>37.950000000000003</v>
      </c>
      <c r="E63" s="116">
        <f t="shared" si="10"/>
        <v>78.069999999999993</v>
      </c>
      <c r="F63" s="457" t="s">
        <v>14</v>
      </c>
      <c r="G63" s="456">
        <v>251</v>
      </c>
      <c r="H63" s="470">
        <f>'1461'!H63</f>
        <v>835</v>
      </c>
      <c r="I63" s="101">
        <f t="shared" si="11"/>
        <v>65188.45</v>
      </c>
      <c r="N63" s="639"/>
      <c r="O63" s="639"/>
      <c r="P63" s="642"/>
      <c r="Q63" s="642"/>
      <c r="R63" s="40" t="s">
        <v>14</v>
      </c>
      <c r="S63" s="462">
        <v>251</v>
      </c>
      <c r="T63" s="473">
        <f t="shared" si="12"/>
        <v>835</v>
      </c>
      <c r="U63" s="487">
        <f t="shared" si="13"/>
        <v>0</v>
      </c>
      <c r="V63" s="438"/>
    </row>
    <row r="64" spans="1:22" x14ac:dyDescent="0.25">
      <c r="A64" s="607"/>
      <c r="B64" s="607"/>
      <c r="C64" s="143">
        <v>4.0199999999999996</v>
      </c>
      <c r="D64" s="143">
        <v>2</v>
      </c>
      <c r="E64" s="116">
        <f t="shared" si="10"/>
        <v>6.02</v>
      </c>
      <c r="F64" s="457" t="s">
        <v>14</v>
      </c>
      <c r="G64" s="456">
        <v>252</v>
      </c>
      <c r="H64" s="470">
        <f>'1461'!H64</f>
        <v>3168</v>
      </c>
      <c r="I64" s="101">
        <f t="shared" si="11"/>
        <v>19071.36</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44.14</v>
      </c>
      <c r="D66" s="97">
        <f>SUM(D57:D65)</f>
        <v>39.950000000000003</v>
      </c>
      <c r="E66" s="97">
        <f>SUM(E57:E65)</f>
        <v>84.089999999999989</v>
      </c>
      <c r="F66" s="608" t="s">
        <v>471</v>
      </c>
      <c r="G66" s="608"/>
      <c r="H66" s="608"/>
      <c r="I66" s="97">
        <f>SUM(I57:I65)</f>
        <v>84259.81</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674.84</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3.3300000000000001E-3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676.09310000000005</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2.9640000000000001E-3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674.84</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3.614E-3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674.84</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3.3349999999999999E-3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674.84</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3.6210000000000001E-3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3.3349999999999999E-3</v>
      </c>
      <c r="I85" s="101">
        <f>ROUND(F85*H85,2)</f>
        <v>148416.32000000001</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3.3300000000000001E-3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3.6210000000000001E-3</v>
      </c>
      <c r="I90" s="101">
        <f>ROUND(F90*H90,2)</f>
        <v>59055.5</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3.614E-3</v>
      </c>
      <c r="I92" s="101">
        <f t="shared" ref="I92:I96" si="14">ROUND(F92*H92,2)</f>
        <v>36677.24</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2.9640000000000001E-3</v>
      </c>
      <c r="I94" s="101">
        <f t="shared" si="14"/>
        <v>708389.11</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2.9640000000000001E-3</v>
      </c>
      <c r="I96" s="101">
        <f t="shared" si="14"/>
        <v>0</v>
      </c>
      <c r="N96" s="620" t="s">
        <v>446</v>
      </c>
      <c r="O96" s="621"/>
      <c r="P96" s="621"/>
      <c r="Q96" s="44"/>
      <c r="R96" s="433">
        <f t="shared" si="15"/>
        <v>0</v>
      </c>
      <c r="S96" s="38" t="s">
        <v>6</v>
      </c>
      <c r="T96" s="435">
        <f>T73</f>
        <v>0</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3.3300000000000001E-3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447</v>
      </c>
      <c r="N101" s="421" t="s">
        <v>447</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676.09310000000005</v>
      </c>
      <c r="D106" s="614"/>
      <c r="E106" s="46">
        <f>H8</f>
        <v>1.0442</v>
      </c>
      <c r="F106" s="302">
        <f>'1461'!F106</f>
        <v>906.93</v>
      </c>
      <c r="G106" s="39" t="s">
        <v>12</v>
      </c>
      <c r="H106" s="94">
        <f>ROUND(C106*E106*F106,2)</f>
        <v>640271.18999999994</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676.09310000000005</v>
      </c>
      <c r="D107" s="604"/>
      <c r="E107" s="123"/>
      <c r="F107" s="123"/>
      <c r="G107" s="123"/>
      <c r="H107" s="124" t="s">
        <v>100</v>
      </c>
      <c r="I107" s="101">
        <f>IF(A1=75,0,H106+H105+H104)</f>
        <v>640271.18999999994</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81" t="s">
        <v>452</v>
      </c>
      <c r="C110" s="43"/>
      <c r="D110" s="69"/>
      <c r="E110" s="43" t="s">
        <v>32</v>
      </c>
      <c r="F110" s="574"/>
      <c r="G110" s="574"/>
      <c r="H110" s="574"/>
      <c r="I110" s="574"/>
      <c r="N110" s="620" t="s">
        <v>452</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384</v>
      </c>
      <c r="D113" s="143">
        <v>281</v>
      </c>
      <c r="E113" s="116">
        <f>(C113+D113)/2</f>
        <v>332.5</v>
      </c>
      <c r="F113" s="126" t="s">
        <v>30</v>
      </c>
      <c r="G113" s="303">
        <f>'1461'!G113</f>
        <v>536</v>
      </c>
      <c r="I113" s="101">
        <f>ROUND(G113*E113,2)</f>
        <v>178220</v>
      </c>
      <c r="N113" s="650" t="s">
        <v>52</v>
      </c>
      <c r="O113" s="650"/>
      <c r="P113" s="630">
        <f>IF(H133=1,E113,0)</f>
        <v>0</v>
      </c>
      <c r="Q113" s="630"/>
      <c r="R113" s="630"/>
      <c r="S113" s="83" t="s">
        <v>30</v>
      </c>
      <c r="T113" s="58">
        <f>G113</f>
        <v>536</v>
      </c>
      <c r="U113" s="486">
        <f>ROUND(T113*P113,2)</f>
        <v>0</v>
      </c>
    </row>
    <row r="114" spans="1:21" x14ac:dyDescent="0.25">
      <c r="A114" s="575" t="s">
        <v>404</v>
      </c>
      <c r="B114" s="576"/>
      <c r="C114" s="143">
        <v>1</v>
      </c>
      <c r="D114" s="143">
        <v>0</v>
      </c>
      <c r="E114" s="116">
        <f>(C114+D114)/2</f>
        <v>0.5</v>
      </c>
      <c r="F114" s="126" t="s">
        <v>30</v>
      </c>
      <c r="G114" s="303">
        <f>'1461'!G114</f>
        <v>1760</v>
      </c>
      <c r="I114" s="101">
        <f>ROUND(G114*E114,2)</f>
        <v>880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533</v>
      </c>
      <c r="B126" s="596"/>
      <c r="C126" s="596"/>
      <c r="D126" s="69"/>
      <c r="E126" s="68" t="s">
        <v>34</v>
      </c>
      <c r="F126" s="615"/>
      <c r="G126" s="615"/>
      <c r="H126" s="615"/>
      <c r="I126" s="154">
        <v>0</v>
      </c>
      <c r="N126" s="620" t="s">
        <v>533</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5484697.3300000001</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5249723.05</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5249723.05</v>
      </c>
      <c r="I135" s="94">
        <f>ROUND(IF(E30=0,0,IF(E30&gt;250,-(((250/E30)*H135)*IF(G135="H",0.02,0.05)),IF(G135="H",-0.02*H135,-0.05*H135))),2)</f>
        <v>-97240.14</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5387457.1900000004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-5391732.6899999995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-4275.4999999990687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-4275.5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165246.01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121</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6.05</v>
      </c>
      <c r="D16" s="143">
        <v>4.8899999999999997</v>
      </c>
      <c r="E16" s="116">
        <f t="shared" si="1"/>
        <v>10.94</v>
      </c>
      <c r="F16" s="679">
        <f>'1461'!F16:G16</f>
        <v>1</v>
      </c>
      <c r="G16" s="679"/>
      <c r="H16" s="80">
        <f t="shared" si="2"/>
        <v>10.94</v>
      </c>
      <c r="I16" s="101">
        <f t="shared" si="3"/>
        <v>58713.95</v>
      </c>
      <c r="N16" s="621" t="s">
        <v>22</v>
      </c>
      <c r="O16" s="621"/>
      <c r="P16" s="662">
        <f t="shared" si="0"/>
        <v>0</v>
      </c>
      <c r="Q16" s="662"/>
      <c r="R16" s="667">
        <v>1</v>
      </c>
      <c r="S16" s="667"/>
      <c r="T16" s="95">
        <f t="shared" si="4"/>
        <v>0</v>
      </c>
      <c r="U16" s="486">
        <f t="shared" si="5"/>
        <v>0</v>
      </c>
    </row>
    <row r="17" spans="1:21" x14ac:dyDescent="0.25">
      <c r="A17" s="596" t="s">
        <v>23</v>
      </c>
      <c r="B17" s="596"/>
      <c r="C17" s="143">
        <v>0.5</v>
      </c>
      <c r="D17" s="143">
        <v>0.98</v>
      </c>
      <c r="E17" s="116">
        <f t="shared" si="1"/>
        <v>1.48</v>
      </c>
      <c r="F17" s="679">
        <f>'1461'!F17:G17</f>
        <v>1</v>
      </c>
      <c r="G17" s="679"/>
      <c r="H17" s="80">
        <f t="shared" si="2"/>
        <v>1.48</v>
      </c>
      <c r="I17" s="101">
        <f t="shared" si="3"/>
        <v>7943.02</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40.98</v>
      </c>
      <c r="D18" s="143">
        <v>39.11</v>
      </c>
      <c r="E18" s="116">
        <f t="shared" si="1"/>
        <v>80.09</v>
      </c>
      <c r="F18" s="679">
        <f>'1461'!F18:G18</f>
        <v>0.98799999999999999</v>
      </c>
      <c r="G18" s="679"/>
      <c r="H18" s="80">
        <f t="shared" si="2"/>
        <v>79.128900000000002</v>
      </c>
      <c r="I18" s="101">
        <f t="shared" si="3"/>
        <v>424677.37</v>
      </c>
      <c r="N18" s="621" t="s">
        <v>24</v>
      </c>
      <c r="O18" s="621"/>
      <c r="P18" s="662">
        <f t="shared" si="0"/>
        <v>0</v>
      </c>
      <c r="Q18" s="662"/>
      <c r="R18" s="667">
        <v>1</v>
      </c>
      <c r="S18" s="667"/>
      <c r="T18" s="95">
        <f t="shared" si="4"/>
        <v>0</v>
      </c>
      <c r="U18" s="486">
        <f t="shared" si="5"/>
        <v>0</v>
      </c>
    </row>
    <row r="19" spans="1:21" x14ac:dyDescent="0.25">
      <c r="A19" s="596" t="s">
        <v>25</v>
      </c>
      <c r="B19" s="596"/>
      <c r="C19" s="143">
        <v>13.33</v>
      </c>
      <c r="D19" s="143">
        <v>13.08</v>
      </c>
      <c r="E19" s="116">
        <f t="shared" si="1"/>
        <v>26.41</v>
      </c>
      <c r="F19" s="679">
        <f>'1461'!F19:G19</f>
        <v>0.98799999999999999</v>
      </c>
      <c r="G19" s="679"/>
      <c r="H19" s="80">
        <f t="shared" si="2"/>
        <v>26.0931</v>
      </c>
      <c r="I19" s="101">
        <f t="shared" si="3"/>
        <v>140039.22</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1.56</v>
      </c>
      <c r="D29" s="110">
        <v>2.4700000000000002</v>
      </c>
      <c r="E29" s="116">
        <f t="shared" si="1"/>
        <v>4.03</v>
      </c>
      <c r="F29" s="679">
        <f>'1461'!F29:G29</f>
        <v>1.0720000000000001</v>
      </c>
      <c r="G29" s="679"/>
      <c r="H29" s="93">
        <f t="shared" si="2"/>
        <v>4.3201999999999998</v>
      </c>
      <c r="I29" s="94">
        <f t="shared" si="3"/>
        <v>23186.11</v>
      </c>
      <c r="N29" s="636" t="s">
        <v>88</v>
      </c>
      <c r="O29" s="636"/>
      <c r="P29" s="662">
        <f t="shared" si="0"/>
        <v>0</v>
      </c>
      <c r="Q29" s="662"/>
      <c r="R29" s="663">
        <v>1</v>
      </c>
      <c r="S29" s="663"/>
      <c r="T29" s="95">
        <f t="shared" si="4"/>
        <v>0</v>
      </c>
      <c r="U29" s="486">
        <f t="shared" si="5"/>
        <v>0</v>
      </c>
    </row>
    <row r="30" spans="1:21" x14ac:dyDescent="0.25">
      <c r="A30" s="608" t="s">
        <v>5</v>
      </c>
      <c r="B30" s="608"/>
      <c r="C30" s="94">
        <f>SUM(C14:C29)</f>
        <v>62.419999999999995</v>
      </c>
      <c r="D30" s="94">
        <f>SUM(D14:D29)</f>
        <v>60.529999999999994</v>
      </c>
      <c r="E30" s="97">
        <f>SUM(E14:E29)</f>
        <v>122.95</v>
      </c>
      <c r="F30" s="600"/>
      <c r="G30" s="600"/>
      <c r="H30" s="99">
        <f>SUM(H14:H29)</f>
        <v>121.9622</v>
      </c>
      <c r="I30" s="94">
        <f>SUM(I14:I29)</f>
        <v>654559.66999999993</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121.9622</v>
      </c>
      <c r="F46" s="34"/>
      <c r="G46" s="106"/>
      <c r="H46" s="107" t="s">
        <v>98</v>
      </c>
      <c r="I46" s="94">
        <f>SUM(I44,I30)</f>
        <v>654559.66999999993</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719771.33</v>
      </c>
      <c r="G51" s="109" t="s">
        <v>6</v>
      </c>
      <c r="H51" s="415">
        <v>4.5199999999999997E-2</v>
      </c>
      <c r="I51" s="101">
        <f>ROUND(F51*H51,2)</f>
        <v>32533.66</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719771.33</v>
      </c>
      <c r="G52" s="109" t="s">
        <v>6</v>
      </c>
      <c r="H52" s="415">
        <v>1.41E-2</v>
      </c>
      <c r="I52" s="101">
        <f>ROUND(F52*H52,2)</f>
        <v>10148.780000000001</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42682.44</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0.5</v>
      </c>
      <c r="D60" s="143">
        <v>0.98</v>
      </c>
      <c r="E60" s="116">
        <f t="shared" si="10"/>
        <v>1.48</v>
      </c>
      <c r="F60" s="457" t="s">
        <v>13</v>
      </c>
      <c r="G60" s="456">
        <v>251</v>
      </c>
      <c r="H60" s="470">
        <f>'1461'!H60</f>
        <v>1173</v>
      </c>
      <c r="I60" s="101">
        <f t="shared" si="11"/>
        <v>1736.04</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13.33</v>
      </c>
      <c r="D63" s="143">
        <v>13.08</v>
      </c>
      <c r="E63" s="116">
        <f t="shared" si="10"/>
        <v>26.41</v>
      </c>
      <c r="F63" s="457" t="s">
        <v>14</v>
      </c>
      <c r="G63" s="456">
        <v>251</v>
      </c>
      <c r="H63" s="470">
        <f>'1461'!H63</f>
        <v>835</v>
      </c>
      <c r="I63" s="101">
        <f t="shared" si="11"/>
        <v>22052.35</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13.83</v>
      </c>
      <c r="D66" s="97">
        <f>SUM(D57:D65)</f>
        <v>14.06</v>
      </c>
      <c r="E66" s="97">
        <f>SUM(E57:E65)</f>
        <v>27.89</v>
      </c>
      <c r="F66" s="608" t="s">
        <v>471</v>
      </c>
      <c r="G66" s="608"/>
      <c r="H66" s="608"/>
      <c r="I66" s="97">
        <f>SUM(I57:I65)</f>
        <v>23788.39</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122.95</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6.0700000000000001E-4</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121.9622</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5.3499999999999999E-4</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122.95</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6.5799999999999995E-4</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122.95</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6.0800000000000003E-4</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122.95</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6.6E-4</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6.0800000000000003E-4</v>
      </c>
      <c r="I85" s="101">
        <f>ROUND(F85*H85,2)</f>
        <v>27057.61</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6.0700000000000001E-4</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6.6E-4</v>
      </c>
      <c r="I90" s="101">
        <f>ROUND(F90*H90,2)</f>
        <v>10764.05</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6.5799999999999995E-4</v>
      </c>
      <c r="I92" s="101">
        <f t="shared" ref="I92:I96" si="14">ROUND(F92*H92,2)</f>
        <v>6677.81</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5.3499999999999999E-4</v>
      </c>
      <c r="I94" s="101">
        <f t="shared" si="14"/>
        <v>127863.76</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5.3499999999999999E-4</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6.0700000000000001E-4</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12.42</v>
      </c>
      <c r="D105" s="614"/>
      <c r="E105" s="46">
        <f>H8</f>
        <v>1.0442</v>
      </c>
      <c r="F105" s="302">
        <f>'1461'!F105</f>
        <v>904.74</v>
      </c>
      <c r="G105" s="39" t="s">
        <v>12</v>
      </c>
      <c r="H105" s="101">
        <f>ROUND(C105*E105*F105,2)</f>
        <v>11733.54</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109.54220000000001</v>
      </c>
      <c r="D106" s="614"/>
      <c r="E106" s="46">
        <f>H8</f>
        <v>1.0442</v>
      </c>
      <c r="F106" s="302">
        <f>'1461'!F106</f>
        <v>906.93</v>
      </c>
      <c r="G106" s="39" t="s">
        <v>12</v>
      </c>
      <c r="H106" s="94">
        <f>ROUND(C106*E106*F106,2)</f>
        <v>103738.25</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121.96220000000001</v>
      </c>
      <c r="D107" s="604"/>
      <c r="E107" s="123"/>
      <c r="F107" s="123"/>
      <c r="G107" s="123"/>
      <c r="H107" s="124" t="s">
        <v>100</v>
      </c>
      <c r="I107" s="101">
        <f>IF(A1=75,0,H106+H105+H104)</f>
        <v>115471.79000000001</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103</v>
      </c>
      <c r="D113" s="143">
        <v>96</v>
      </c>
      <c r="E113" s="116">
        <f>(C113+D113)/2</f>
        <v>99.5</v>
      </c>
      <c r="F113" s="126" t="s">
        <v>30</v>
      </c>
      <c r="G113" s="303">
        <f>'1461'!G113</f>
        <v>536</v>
      </c>
      <c r="I113" s="101">
        <f>ROUND(G113*E113,2)</f>
        <v>53332</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1019515.0800000001</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976832.64000000013</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976832.64000000013</v>
      </c>
      <c r="I135" s="94">
        <f>ROUND(IF(E30=0,0,IF(E30&gt;250,-(((250/E30)*H135)*IF(G135="H",0.02,0.05)),IF(G135="H",-0.02*H135,-0.05*H135))),2)</f>
        <v>-48841.63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970673.45000000007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-970331.89999999991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341.55000000016298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341.55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113</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45.38</v>
      </c>
      <c r="D19" s="143">
        <v>48.56</v>
      </c>
      <c r="E19" s="116">
        <f t="shared" si="1"/>
        <v>93.94</v>
      </c>
      <c r="F19" s="679">
        <f>'1461'!F19:G19</f>
        <v>0.98799999999999999</v>
      </c>
      <c r="G19" s="679"/>
      <c r="H19" s="80">
        <f t="shared" si="2"/>
        <v>92.812700000000007</v>
      </c>
      <c r="I19" s="101">
        <f>ROUND(ROUND(ROUND(H19*$C$8,4)*($H$8),2)*(MAX($H$9,1)),2)</f>
        <v>498117.04</v>
      </c>
      <c r="J19" s="65" t="str">
        <f>IF(ROUND(E19,2)=ROUND(SUM(E63:E65),2)," ","CHECK 4-8 LINES BELOW")</f>
        <v xml:space="preserve"> </v>
      </c>
      <c r="N19" s="621" t="s">
        <v>25</v>
      </c>
      <c r="O19" s="621"/>
      <c r="P19" s="662">
        <f t="shared" si="0"/>
        <v>93.94</v>
      </c>
      <c r="Q19" s="662"/>
      <c r="R19" s="667">
        <v>1</v>
      </c>
      <c r="S19" s="667"/>
      <c r="T19" s="95">
        <f t="shared" si="4"/>
        <v>93.94</v>
      </c>
      <c r="U19" s="485">
        <f t="shared" si="5"/>
        <v>504167.16</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45.38</v>
      </c>
      <c r="D30" s="94">
        <f>SUM(D14:D29)</f>
        <v>48.56</v>
      </c>
      <c r="E30" s="94">
        <f>SUM(E14:E29)</f>
        <v>93.94</v>
      </c>
      <c r="F30" s="600"/>
      <c r="G30" s="600"/>
      <c r="H30" s="99">
        <f>SUM(H14:H29)</f>
        <v>92.812700000000007</v>
      </c>
      <c r="I30" s="94">
        <f>SUM(I14:I29)</f>
        <v>498117.04</v>
      </c>
      <c r="N30" s="664" t="s">
        <v>5</v>
      </c>
      <c r="O30" s="664"/>
      <c r="P30" s="665">
        <f>SUM(P14:P29)</f>
        <v>93.94</v>
      </c>
      <c r="Q30" s="665"/>
      <c r="R30" s="637"/>
      <c r="S30" s="637"/>
      <c r="T30" s="100">
        <f>SUM(T14:T29)</f>
        <v>93.94</v>
      </c>
      <c r="U30" s="486">
        <f>SUM(U14:U29)</f>
        <v>504167.16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92.812700000000007</v>
      </c>
      <c r="F46" s="34"/>
      <c r="G46" s="106"/>
      <c r="H46" s="107" t="s">
        <v>98</v>
      </c>
      <c r="I46" s="94">
        <f>SUM(I44,I30)</f>
        <v>498117.04</v>
      </c>
      <c r="N46" s="623" t="s">
        <v>44</v>
      </c>
      <c r="O46" s="623"/>
      <c r="P46" s="623"/>
      <c r="Q46" s="623"/>
      <c r="R46" s="35">
        <f>R44+T30</f>
        <v>93.94</v>
      </c>
      <c r="S46" s="637" t="s">
        <v>42</v>
      </c>
      <c r="T46" s="637"/>
      <c r="U46" s="108">
        <f>SUM(U44,U30)</f>
        <v>504167.16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505699.94</v>
      </c>
      <c r="G51" s="109" t="s">
        <v>6</v>
      </c>
      <c r="H51" s="415">
        <v>4.5199999999999997E-2</v>
      </c>
      <c r="I51" s="101">
        <f>ROUND(F51*H51,2)</f>
        <v>22857.64</v>
      </c>
      <c r="N51" s="420"/>
      <c r="O51" s="421" t="s">
        <v>422</v>
      </c>
      <c r="P51" s="28"/>
      <c r="Q51" s="44" t="s">
        <v>423</v>
      </c>
      <c r="R51" s="422">
        <f>U30</f>
        <v>504167.16</v>
      </c>
      <c r="S51" s="423" t="s">
        <v>6</v>
      </c>
      <c r="T51" s="424">
        <v>4.5199999999999997E-2</v>
      </c>
      <c r="U51" s="416">
        <f>ROUND(R51*T51,2)</f>
        <v>22788.36</v>
      </c>
    </row>
    <row r="52" spans="1:22" x14ac:dyDescent="0.25">
      <c r="A52" s="26"/>
      <c r="B52" s="81" t="s">
        <v>424</v>
      </c>
      <c r="C52" s="26"/>
      <c r="D52" s="26"/>
      <c r="E52" s="43" t="s">
        <v>423</v>
      </c>
      <c r="F52" s="414">
        <v>505699.94</v>
      </c>
      <c r="G52" s="109" t="s">
        <v>6</v>
      </c>
      <c r="H52" s="415">
        <v>1.41E-2</v>
      </c>
      <c r="I52" s="101">
        <f>ROUND(F52*H52,2)</f>
        <v>7130.37</v>
      </c>
      <c r="N52" s="28"/>
      <c r="O52" s="397" t="s">
        <v>424</v>
      </c>
      <c r="P52" s="28"/>
      <c r="Q52" s="44" t="s">
        <v>423</v>
      </c>
      <c r="R52" s="422">
        <f>U30</f>
        <v>504167.16</v>
      </c>
      <c r="S52" s="423" t="s">
        <v>6</v>
      </c>
      <c r="T52" s="424">
        <v>1.41E-2</v>
      </c>
      <c r="U52" s="425">
        <f>ROUND(R52*T52,2)</f>
        <v>7108.76</v>
      </c>
    </row>
    <row r="53" spans="1:22" x14ac:dyDescent="0.25">
      <c r="A53" s="26"/>
      <c r="B53" s="81" t="s">
        <v>425</v>
      </c>
      <c r="C53" s="26"/>
      <c r="D53" s="26"/>
      <c r="E53" s="43"/>
      <c r="F53" s="414"/>
      <c r="G53" s="109"/>
      <c r="H53" s="415"/>
      <c r="I53" s="97">
        <f>SUM(I51:I52)</f>
        <v>29988.01</v>
      </c>
      <c r="N53" s="28"/>
      <c r="O53" s="397" t="s">
        <v>425</v>
      </c>
      <c r="P53" s="28"/>
      <c r="Q53" s="44"/>
      <c r="R53" s="422"/>
      <c r="S53" s="423"/>
      <c r="T53" s="424"/>
      <c r="U53" s="416">
        <f>SUM(U51:U52)</f>
        <v>29897.120000000003</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1.31</v>
      </c>
      <c r="E63" s="116">
        <f t="shared" si="10"/>
        <v>1.31</v>
      </c>
      <c r="F63" s="457" t="s">
        <v>14</v>
      </c>
      <c r="G63" s="456">
        <v>251</v>
      </c>
      <c r="H63" s="470">
        <f>'1461'!H63</f>
        <v>835</v>
      </c>
      <c r="I63" s="101">
        <f t="shared" si="11"/>
        <v>1093.8499999999999</v>
      </c>
      <c r="N63" s="639"/>
      <c r="O63" s="639"/>
      <c r="P63" s="642"/>
      <c r="Q63" s="642"/>
      <c r="R63" s="40" t="s">
        <v>14</v>
      </c>
      <c r="S63" s="462">
        <v>251</v>
      </c>
      <c r="T63" s="473">
        <f t="shared" si="12"/>
        <v>835</v>
      </c>
      <c r="U63" s="487">
        <f t="shared" si="13"/>
        <v>0</v>
      </c>
      <c r="V63" s="438"/>
    </row>
    <row r="64" spans="1:22" x14ac:dyDescent="0.25">
      <c r="A64" s="607"/>
      <c r="B64" s="607"/>
      <c r="C64" s="143">
        <v>31.39</v>
      </c>
      <c r="D64" s="143">
        <v>33.270000000000003</v>
      </c>
      <c r="E64" s="116">
        <f t="shared" si="10"/>
        <v>64.66</v>
      </c>
      <c r="F64" s="457" t="s">
        <v>14</v>
      </c>
      <c r="G64" s="456">
        <v>252</v>
      </c>
      <c r="H64" s="470">
        <f>'1461'!H64</f>
        <v>3168</v>
      </c>
      <c r="I64" s="101">
        <f t="shared" si="11"/>
        <v>204842.88</v>
      </c>
      <c r="N64" s="639"/>
      <c r="O64" s="639"/>
      <c r="P64" s="642"/>
      <c r="Q64" s="642"/>
      <c r="R64" s="40" t="s">
        <v>14</v>
      </c>
      <c r="S64" s="462">
        <v>252</v>
      </c>
      <c r="T64" s="473">
        <f t="shared" si="12"/>
        <v>3168</v>
      </c>
      <c r="U64" s="487">
        <f t="shared" si="13"/>
        <v>0</v>
      </c>
      <c r="V64" s="438"/>
    </row>
    <row r="65" spans="1:22" ht="16.5" thickBot="1" x14ac:dyDescent="0.3">
      <c r="A65" s="607"/>
      <c r="B65" s="607"/>
      <c r="C65" s="143">
        <v>13.99</v>
      </c>
      <c r="D65" s="143">
        <v>13.98</v>
      </c>
      <c r="E65" s="116">
        <f t="shared" si="10"/>
        <v>27.97</v>
      </c>
      <c r="F65" s="457" t="s">
        <v>14</v>
      </c>
      <c r="G65" s="456">
        <v>253</v>
      </c>
      <c r="H65" s="470">
        <f>'1461'!H65</f>
        <v>6685</v>
      </c>
      <c r="I65" s="101">
        <f t="shared" si="11"/>
        <v>186979.45</v>
      </c>
      <c r="N65" s="639"/>
      <c r="O65" s="639"/>
      <c r="P65" s="643"/>
      <c r="Q65" s="643"/>
      <c r="R65" s="40" t="s">
        <v>14</v>
      </c>
      <c r="S65" s="462">
        <v>253</v>
      </c>
      <c r="T65" s="473">
        <f t="shared" si="12"/>
        <v>6685</v>
      </c>
      <c r="U65" s="488">
        <f t="shared" si="13"/>
        <v>0</v>
      </c>
      <c r="V65" s="438"/>
    </row>
    <row r="66" spans="1:22" ht="16.5" thickBot="1" x14ac:dyDescent="0.3">
      <c r="A66" s="453"/>
      <c r="C66" s="97">
        <f>SUM(C57:C65)</f>
        <v>45.38</v>
      </c>
      <c r="D66" s="97">
        <f>SUM(D57:D65)</f>
        <v>48.56</v>
      </c>
      <c r="E66" s="97">
        <f>SUM(E57:E65)</f>
        <v>93.94</v>
      </c>
      <c r="F66" s="608" t="s">
        <v>471</v>
      </c>
      <c r="G66" s="608"/>
      <c r="H66" s="608"/>
      <c r="I66" s="97">
        <f>SUM(I57:I65)</f>
        <v>392916.18000000005</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93.94</v>
      </c>
      <c r="D69" s="583" t="s">
        <v>437</v>
      </c>
      <c r="E69" s="583"/>
      <c r="F69" s="583"/>
      <c r="G69" s="583"/>
      <c r="H69" s="299">
        <f>'1461'!H69</f>
        <v>202683.97</v>
      </c>
      <c r="I69" s="113"/>
      <c r="N69" s="620" t="s">
        <v>430</v>
      </c>
      <c r="O69" s="621"/>
      <c r="P69" s="41">
        <f>P30</f>
        <v>93.94</v>
      </c>
      <c r="Q69" s="626" t="s">
        <v>432</v>
      </c>
      <c r="R69" s="627"/>
      <c r="S69" s="627"/>
      <c r="T69" s="624">
        <f>H69</f>
        <v>202683.97</v>
      </c>
      <c r="U69" s="624"/>
    </row>
    <row r="70" spans="1:22" x14ac:dyDescent="0.25">
      <c r="B70" s="69"/>
      <c r="G70" s="42" t="s">
        <v>12</v>
      </c>
      <c r="H70" s="114">
        <f>ROUND(C69/H69,6)</f>
        <v>4.6299999999999998E-4</v>
      </c>
      <c r="I70" s="115"/>
      <c r="N70" s="621"/>
      <c r="O70" s="621"/>
      <c r="P70" s="621"/>
      <c r="Q70" s="621"/>
      <c r="R70" s="621"/>
      <c r="S70" s="621"/>
      <c r="T70" s="625">
        <f>ROUND(P69/T69,6)</f>
        <v>4.6299999999999998E-4</v>
      </c>
      <c r="U70" s="625"/>
    </row>
    <row r="71" spans="1:22" x14ac:dyDescent="0.25">
      <c r="A71" s="455" t="s">
        <v>474</v>
      </c>
      <c r="N71" s="466" t="s">
        <v>482</v>
      </c>
      <c r="O71" s="51"/>
      <c r="P71" s="51"/>
      <c r="Q71" s="51"/>
      <c r="R71" s="51"/>
      <c r="S71" s="51"/>
      <c r="T71" s="51"/>
      <c r="U71" s="51"/>
    </row>
    <row r="72" spans="1:22" x14ac:dyDescent="0.25">
      <c r="A72" s="602" t="s">
        <v>427</v>
      </c>
      <c r="B72" s="596"/>
      <c r="C72" s="112">
        <f>H30</f>
        <v>92.812700000000007</v>
      </c>
      <c r="D72" s="583" t="s">
        <v>438</v>
      </c>
      <c r="E72" s="583"/>
      <c r="F72" s="583"/>
      <c r="G72" s="583"/>
      <c r="H72" s="300">
        <f>'1461'!H72</f>
        <v>228068.32</v>
      </c>
      <c r="I72" s="116"/>
      <c r="N72" s="620" t="s">
        <v>431</v>
      </c>
      <c r="O72" s="621"/>
      <c r="P72" s="41">
        <f>T30</f>
        <v>93.94</v>
      </c>
      <c r="Q72" s="626" t="s">
        <v>433</v>
      </c>
      <c r="R72" s="627"/>
      <c r="S72" s="627"/>
      <c r="T72" s="624">
        <f>H72</f>
        <v>228068.32</v>
      </c>
      <c r="U72" s="624"/>
    </row>
    <row r="73" spans="1:22" x14ac:dyDescent="0.25">
      <c r="G73" s="42" t="s">
        <v>12</v>
      </c>
      <c r="H73" s="114">
        <f>ROUND(C72/H72,6)</f>
        <v>4.0700000000000003E-4</v>
      </c>
      <c r="I73" s="114"/>
      <c r="N73" s="621"/>
      <c r="O73" s="621"/>
      <c r="P73" s="621"/>
      <c r="Q73" s="621"/>
      <c r="R73" s="621"/>
      <c r="S73" s="621"/>
      <c r="T73" s="625">
        <f>ROUND(P72/T72,6)</f>
        <v>4.1199999999999999E-4</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93.94</v>
      </c>
      <c r="D75" s="575" t="s">
        <v>439</v>
      </c>
      <c r="E75" s="575"/>
      <c r="F75" s="575"/>
      <c r="G75" s="575"/>
      <c r="H75" s="299">
        <f>'1461'!H75</f>
        <v>186715.72</v>
      </c>
      <c r="I75" s="113"/>
      <c r="N75" s="620" t="s">
        <v>429</v>
      </c>
      <c r="O75" s="621"/>
      <c r="P75" s="41">
        <f>P30</f>
        <v>93.94</v>
      </c>
      <c r="Q75" s="656" t="s">
        <v>434</v>
      </c>
      <c r="R75" s="657"/>
      <c r="S75" s="657"/>
      <c r="T75" s="624">
        <f>H75</f>
        <v>186715.72</v>
      </c>
      <c r="U75" s="624"/>
    </row>
    <row r="76" spans="1:22" x14ac:dyDescent="0.25">
      <c r="B76" s="69"/>
      <c r="G76" s="42" t="s">
        <v>12</v>
      </c>
      <c r="H76" s="114">
        <f>ROUND(C75/H75,6)</f>
        <v>5.0299999999999997E-4</v>
      </c>
      <c r="I76" s="115"/>
      <c r="N76" s="621"/>
      <c r="O76" s="621"/>
      <c r="P76" s="621"/>
      <c r="Q76" s="621"/>
      <c r="R76" s="621"/>
      <c r="S76" s="621"/>
      <c r="T76" s="625">
        <f>ROUND(P75/T75,6)</f>
        <v>5.0299999999999997E-4</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93.94</v>
      </c>
      <c r="D78" s="603" t="s">
        <v>440</v>
      </c>
      <c r="E78" s="603"/>
      <c r="F78" s="603"/>
      <c r="G78" s="603"/>
      <c r="H78" s="299">
        <f>'1461'!H78</f>
        <v>202339.94</v>
      </c>
      <c r="I78" s="113"/>
      <c r="N78" s="620" t="s">
        <v>429</v>
      </c>
      <c r="O78" s="621"/>
      <c r="P78" s="41">
        <f>P30</f>
        <v>93.94</v>
      </c>
      <c r="Q78" s="654" t="s">
        <v>435</v>
      </c>
      <c r="R78" s="655"/>
      <c r="S78" s="655"/>
      <c r="T78" s="624">
        <f>H78</f>
        <v>202339.94</v>
      </c>
      <c r="U78" s="624"/>
    </row>
    <row r="79" spans="1:22" x14ac:dyDescent="0.25">
      <c r="B79" s="69"/>
      <c r="G79" s="42" t="s">
        <v>12</v>
      </c>
      <c r="H79" s="114">
        <f>ROUND(C78/H78,6)</f>
        <v>4.64E-4</v>
      </c>
      <c r="I79" s="115"/>
      <c r="N79" s="621"/>
      <c r="O79" s="621"/>
      <c r="P79" s="621"/>
      <c r="Q79" s="621"/>
      <c r="R79" s="621"/>
      <c r="S79" s="621"/>
      <c r="T79" s="625">
        <f>ROUND(P78/T78,6)</f>
        <v>4.64E-4</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93.94</v>
      </c>
      <c r="D81" s="575" t="s">
        <v>441</v>
      </c>
      <c r="E81" s="575"/>
      <c r="F81" s="575"/>
      <c r="G81" s="575"/>
      <c r="H81" s="299">
        <f>'1461'!H81</f>
        <v>186371.69</v>
      </c>
      <c r="I81" s="113"/>
      <c r="N81" s="620" t="s">
        <v>442</v>
      </c>
      <c r="O81" s="621"/>
      <c r="P81" s="41">
        <f>P30</f>
        <v>93.94</v>
      </c>
      <c r="Q81" s="656" t="s">
        <v>443</v>
      </c>
      <c r="R81" s="657"/>
      <c r="S81" s="657"/>
      <c r="T81" s="624">
        <f>H81</f>
        <v>186371.69</v>
      </c>
      <c r="U81" s="624"/>
    </row>
    <row r="82" spans="1:21" x14ac:dyDescent="0.25">
      <c r="B82" s="69"/>
      <c r="G82" s="42" t="s">
        <v>12</v>
      </c>
      <c r="H82" s="114">
        <f>ROUND(C81/H81,6)</f>
        <v>5.04E-4</v>
      </c>
      <c r="I82" s="115"/>
      <c r="N82" s="621"/>
      <c r="O82" s="621"/>
      <c r="P82" s="621"/>
      <c r="Q82" s="621"/>
      <c r="R82" s="621"/>
      <c r="S82" s="621"/>
      <c r="T82" s="625">
        <f>ROUND(P81/T81,6)</f>
        <v>5.04E-4</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4.64E-4</v>
      </c>
      <c r="I85" s="101">
        <f>ROUND(F85*H85,2)</f>
        <v>20649.23</v>
      </c>
      <c r="N85" s="466" t="s">
        <v>478</v>
      </c>
      <c r="O85" s="51"/>
      <c r="P85" s="51"/>
      <c r="Q85" s="44"/>
      <c r="R85" s="433">
        <f>F85</f>
        <v>44502646</v>
      </c>
      <c r="S85" s="38" t="s">
        <v>6</v>
      </c>
      <c r="T85" s="435">
        <f>T79</f>
        <v>4.64E-4</v>
      </c>
      <c r="U85" s="486">
        <f>ROUND(R85*T85,2)</f>
        <v>20649.23</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4.6299999999999998E-4</v>
      </c>
      <c r="I88" s="101">
        <f>ROUND(F88*H88,2)</f>
        <v>0</v>
      </c>
      <c r="N88" s="658" t="s">
        <v>99</v>
      </c>
      <c r="O88" s="621"/>
      <c r="P88" s="621"/>
      <c r="Q88" s="44"/>
      <c r="R88" s="433">
        <f>F88</f>
        <v>0</v>
      </c>
      <c r="S88" s="38" t="s">
        <v>6</v>
      </c>
      <c r="T88" s="435">
        <f>T70</f>
        <v>4.6299999999999998E-4</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5.04E-4</v>
      </c>
      <c r="I90" s="101">
        <f>ROUND(F90*H90,2)</f>
        <v>8219.82</v>
      </c>
      <c r="N90" s="466" t="s">
        <v>479</v>
      </c>
      <c r="O90" s="51"/>
      <c r="P90" s="51"/>
      <c r="Q90" s="44"/>
      <c r="R90" s="433">
        <f>F90</f>
        <v>16309168</v>
      </c>
      <c r="S90" s="38" t="s">
        <v>6</v>
      </c>
      <c r="T90" s="435">
        <f>T82</f>
        <v>5.04E-4</v>
      </c>
      <c r="U90" s="486">
        <f>ROUND(R90*T90,2)</f>
        <v>8219.82</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5.0299999999999997E-4</v>
      </c>
      <c r="I92" s="101">
        <f t="shared" ref="I92:I96" si="14">ROUND(F92*H92,2)</f>
        <v>5104.7700000000004</v>
      </c>
      <c r="N92" s="466" t="s">
        <v>480</v>
      </c>
      <c r="O92" s="51"/>
      <c r="P92" s="51"/>
      <c r="Q92" s="44"/>
      <c r="R92" s="433">
        <f t="shared" ref="R92:R96" si="15">F92</f>
        <v>10148654</v>
      </c>
      <c r="S92" s="38" t="s">
        <v>6</v>
      </c>
      <c r="T92" s="435">
        <f>T76</f>
        <v>5.0299999999999997E-4</v>
      </c>
      <c r="U92" s="486">
        <f>ROUND(R92*T92,2)</f>
        <v>5104.7700000000004</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4.0700000000000003E-4</v>
      </c>
      <c r="I94" s="101">
        <f t="shared" si="14"/>
        <v>97272.05</v>
      </c>
      <c r="N94" s="621" t="s">
        <v>445</v>
      </c>
      <c r="O94" s="621"/>
      <c r="P94" s="621"/>
      <c r="Q94" s="44"/>
      <c r="R94" s="433">
        <f t="shared" si="15"/>
        <v>238997674</v>
      </c>
      <c r="S94" s="38" t="s">
        <v>6</v>
      </c>
      <c r="T94" s="435">
        <f>T73</f>
        <v>4.1199999999999999E-4</v>
      </c>
      <c r="U94" s="486">
        <f>ROUND(R94*T94,2)</f>
        <v>98467.04</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4.0700000000000003E-4</v>
      </c>
      <c r="I96" s="101">
        <f t="shared" si="14"/>
        <v>0</v>
      </c>
      <c r="N96" s="620" t="s">
        <v>446</v>
      </c>
      <c r="O96" s="621"/>
      <c r="P96" s="621"/>
      <c r="Q96" s="44"/>
      <c r="R96" s="433">
        <f t="shared" si="15"/>
        <v>0</v>
      </c>
      <c r="S96" s="38" t="s">
        <v>6</v>
      </c>
      <c r="T96" s="435">
        <f>T73</f>
        <v>4.1199999999999999E-4</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4.6299999999999998E-4</v>
      </c>
      <c r="I98" s="101">
        <f t="shared" ref="I98" si="16">ROUND(F98*H98,2)</f>
        <v>0</v>
      </c>
      <c r="N98" s="542" t="s">
        <v>525</v>
      </c>
      <c r="O98" s="542"/>
      <c r="P98" s="542"/>
      <c r="Q98" s="44"/>
      <c r="R98" s="545">
        <f>F98</f>
        <v>0</v>
      </c>
      <c r="S98" s="543" t="s">
        <v>6</v>
      </c>
      <c r="T98" s="435">
        <f>T70</f>
        <v>4.6299999999999998E-4</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92.812700000000007</v>
      </c>
      <c r="D106" s="614"/>
      <c r="E106" s="46">
        <f>H8</f>
        <v>1.0442</v>
      </c>
      <c r="F106" s="302">
        <f>'1461'!F106</f>
        <v>906.93</v>
      </c>
      <c r="G106" s="39" t="s">
        <v>12</v>
      </c>
      <c r="H106" s="94">
        <f>ROUND(C106*E106*F106,2)</f>
        <v>87895.14</v>
      </c>
      <c r="N106" s="53" t="s">
        <v>14</v>
      </c>
      <c r="O106" s="54">
        <f>T18+T19+T22+T25+T28+T29</f>
        <v>93.94</v>
      </c>
      <c r="P106" s="631">
        <f>T8</f>
        <v>1.0442</v>
      </c>
      <c r="Q106" s="631"/>
      <c r="R106" s="48">
        <f>F106</f>
        <v>906.93</v>
      </c>
      <c r="S106" s="40" t="s">
        <v>12</v>
      </c>
      <c r="T106" s="492">
        <f>ROUND(O106*P106*R106,2)</f>
        <v>88962.71</v>
      </c>
      <c r="U106" s="51"/>
    </row>
    <row r="107" spans="1:21" ht="16.5" thickBot="1" x14ac:dyDescent="0.3">
      <c r="A107" s="55"/>
      <c r="B107" s="122" t="s">
        <v>102</v>
      </c>
      <c r="C107" s="604">
        <f>SUM(C104:C106)</f>
        <v>92.812700000000007</v>
      </c>
      <c r="D107" s="604"/>
      <c r="E107" s="123"/>
      <c r="F107" s="123"/>
      <c r="G107" s="123"/>
      <c r="H107" s="124" t="s">
        <v>100</v>
      </c>
      <c r="I107" s="101">
        <f>IF(A1=75,0,H106+H105+H104)</f>
        <v>87895.14</v>
      </c>
      <c r="N107" s="56" t="s">
        <v>89</v>
      </c>
      <c r="O107" s="57">
        <f>SUM(O104:O106)</f>
        <v>93.94</v>
      </c>
      <c r="P107" s="632" t="s">
        <v>16</v>
      </c>
      <c r="Q107" s="633"/>
      <c r="R107" s="633"/>
      <c r="S107" s="633"/>
      <c r="T107" s="633"/>
      <c r="U107" s="486">
        <f>IF(N1=75,0,T106+T105+T104)</f>
        <v>88962.71</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66</v>
      </c>
      <c r="D113" s="143">
        <v>70</v>
      </c>
      <c r="E113" s="116">
        <f>(C113+D113)/2</f>
        <v>68</v>
      </c>
      <c r="F113" s="126" t="s">
        <v>30</v>
      </c>
      <c r="G113" s="303">
        <f>'1461'!G113</f>
        <v>536</v>
      </c>
      <c r="I113" s="101">
        <f>ROUND(G113*E113,2)</f>
        <v>36448</v>
      </c>
      <c r="N113" s="650" t="s">
        <v>52</v>
      </c>
      <c r="O113" s="650"/>
      <c r="P113" s="630">
        <f>IF(H133=1,E113,0)</f>
        <v>68</v>
      </c>
      <c r="Q113" s="630"/>
      <c r="R113" s="630"/>
      <c r="S113" s="83" t="s">
        <v>30</v>
      </c>
      <c r="T113" s="58">
        <f>G113</f>
        <v>536</v>
      </c>
      <c r="U113" s="486">
        <f>ROUND(T113*P113,2)</f>
        <v>36448</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1146622.23</v>
      </c>
      <c r="N128" s="466"/>
      <c r="O128" s="465"/>
      <c r="P128" s="465"/>
      <c r="Q128" s="305"/>
      <c r="R128" s="305"/>
      <c r="S128" s="305"/>
      <c r="T128" s="305"/>
      <c r="U128" s="493">
        <f>SUM(U30,U85,U88,U90,U92,U94,U96,U107,U113,U114,U124,U126)</f>
        <v>762018.73</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1116634.22</v>
      </c>
      <c r="N130" s="621" t="s">
        <v>457</v>
      </c>
      <c r="O130" s="621"/>
      <c r="P130" s="621"/>
      <c r="Q130" s="621"/>
      <c r="R130" s="621"/>
      <c r="S130" s="621"/>
      <c r="T130" s="621"/>
      <c r="U130" s="132">
        <f>U128-U53</f>
        <v>732121.61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f>IF(E30=0,"",IF((E15+E17+SUM(E19:E25))/E30&gt;0.75,1,""))</f>
        <v>1</v>
      </c>
      <c r="I133" s="116">
        <f>U130</f>
        <v>732121.61</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732121.61</v>
      </c>
      <c r="I135" s="94">
        <f>ROUND(IF(E30=0,0,IF(E30&gt;250,-(((250/E30)*H135)*IF(G135="H",0.02,0.05)),IF(G135="H",-0.02*H135,-0.05*H135))),2)</f>
        <v>-36606.080000000002</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1110016.1499999999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Payments'!Q94</f>
        <v>-1109066.77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949.37999999988824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949.38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122</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136.72999999999999</v>
      </c>
      <c r="D18" s="143">
        <v>158.49</v>
      </c>
      <c r="E18" s="116">
        <f t="shared" si="1"/>
        <v>295.22000000000003</v>
      </c>
      <c r="F18" s="679">
        <f>'1461'!F18:G18</f>
        <v>0.98799999999999999</v>
      </c>
      <c r="G18" s="679"/>
      <c r="H18" s="80">
        <f t="shared" si="2"/>
        <v>291.67739999999998</v>
      </c>
      <c r="I18" s="101">
        <f t="shared" si="3"/>
        <v>1565405.21</v>
      </c>
      <c r="N18" s="621" t="s">
        <v>24</v>
      </c>
      <c r="O18" s="621"/>
      <c r="P18" s="662">
        <f t="shared" si="0"/>
        <v>0</v>
      </c>
      <c r="Q18" s="662"/>
      <c r="R18" s="667">
        <v>1</v>
      </c>
      <c r="S18" s="667"/>
      <c r="T18" s="95">
        <f t="shared" si="4"/>
        <v>0</v>
      </c>
      <c r="U18" s="486">
        <f t="shared" si="5"/>
        <v>0</v>
      </c>
    </row>
    <row r="19" spans="1:21" x14ac:dyDescent="0.25">
      <c r="A19" s="596" t="s">
        <v>25</v>
      </c>
      <c r="B19" s="596"/>
      <c r="C19" s="143">
        <v>29.43</v>
      </c>
      <c r="D19" s="143">
        <v>38.14</v>
      </c>
      <c r="E19" s="116">
        <f t="shared" si="1"/>
        <v>67.569999999999993</v>
      </c>
      <c r="F19" s="679">
        <f>'1461'!F19:G19</f>
        <v>0.98799999999999999</v>
      </c>
      <c r="G19" s="679"/>
      <c r="H19" s="80">
        <f t="shared" si="2"/>
        <v>66.759200000000007</v>
      </c>
      <c r="I19" s="101">
        <f t="shared" si="3"/>
        <v>358290.36</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7.28</v>
      </c>
      <c r="D28" s="143">
        <v>9.1999999999999993</v>
      </c>
      <c r="E28" s="116">
        <f t="shared" si="1"/>
        <v>16.48</v>
      </c>
      <c r="F28" s="679">
        <f>'1461'!F28:G28</f>
        <v>1.208</v>
      </c>
      <c r="G28" s="679"/>
      <c r="H28" s="80">
        <f t="shared" si="2"/>
        <v>19.907800000000002</v>
      </c>
      <c r="I28" s="101">
        <f t="shared" si="3"/>
        <v>106843.29</v>
      </c>
      <c r="N28" s="621" t="s">
        <v>87</v>
      </c>
      <c r="O28" s="621"/>
      <c r="P28" s="662">
        <f t="shared" si="0"/>
        <v>0</v>
      </c>
      <c r="Q28" s="662"/>
      <c r="R28" s="667">
        <v>1</v>
      </c>
      <c r="S28" s="667"/>
      <c r="T28" s="95">
        <f t="shared" si="4"/>
        <v>0</v>
      </c>
      <c r="U28" s="486">
        <f t="shared" si="5"/>
        <v>0</v>
      </c>
    </row>
    <row r="29" spans="1:21" x14ac:dyDescent="0.25">
      <c r="A29" s="596" t="s">
        <v>88</v>
      </c>
      <c r="B29" s="596"/>
      <c r="C29" s="110">
        <v>1.89</v>
      </c>
      <c r="D29" s="110">
        <v>1.78</v>
      </c>
      <c r="E29" s="154">
        <f t="shared" si="1"/>
        <v>3.67</v>
      </c>
      <c r="F29" s="679">
        <f>'1461'!F29:G29</f>
        <v>1.0720000000000001</v>
      </c>
      <c r="G29" s="679"/>
      <c r="H29" s="93">
        <f t="shared" si="2"/>
        <v>3.9342000000000001</v>
      </c>
      <c r="I29" s="94">
        <f t="shared" si="3"/>
        <v>21114.48</v>
      </c>
      <c r="N29" s="636" t="s">
        <v>88</v>
      </c>
      <c r="O29" s="636"/>
      <c r="P29" s="662">
        <f t="shared" si="0"/>
        <v>0</v>
      </c>
      <c r="Q29" s="662"/>
      <c r="R29" s="663">
        <v>1</v>
      </c>
      <c r="S29" s="663"/>
      <c r="T29" s="95">
        <f t="shared" si="4"/>
        <v>0</v>
      </c>
      <c r="U29" s="486">
        <f t="shared" si="5"/>
        <v>0</v>
      </c>
    </row>
    <row r="30" spans="1:21" x14ac:dyDescent="0.25">
      <c r="A30" s="608" t="s">
        <v>5</v>
      </c>
      <c r="B30" s="608"/>
      <c r="C30" s="94">
        <f>SUM(C14:C29)</f>
        <v>175.32999999999998</v>
      </c>
      <c r="D30" s="94">
        <f>SUM(D14:D29)</f>
        <v>207.60999999999999</v>
      </c>
      <c r="E30" s="94">
        <f>SUM(E14:E29)</f>
        <v>382.94000000000005</v>
      </c>
      <c r="F30" s="600"/>
      <c r="G30" s="600"/>
      <c r="H30" s="99">
        <f>SUM(H14:H29)</f>
        <v>382.27859999999998</v>
      </c>
      <c r="I30" s="94">
        <f>SUM(I14:I29)</f>
        <v>2051653.3399999999</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382.27859999999998</v>
      </c>
      <c r="F46" s="34"/>
      <c r="G46" s="106"/>
      <c r="H46" s="107" t="s">
        <v>98</v>
      </c>
      <c r="I46" s="94">
        <f>SUM(I44,I30)</f>
        <v>2051653.3399999999</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1878828.2299999997</v>
      </c>
      <c r="G51" s="109" t="s">
        <v>6</v>
      </c>
      <c r="H51" s="415">
        <v>4.5199999999999997E-2</v>
      </c>
      <c r="I51" s="101">
        <f>ROUND(F51*H51,2)</f>
        <v>84923.04</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1878828.2299999997</v>
      </c>
      <c r="G52" s="109" t="s">
        <v>6</v>
      </c>
      <c r="H52" s="415">
        <v>1.41E-2</v>
      </c>
      <c r="I52" s="101">
        <f>ROUND(F52*H52,2)</f>
        <v>26491.48</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111414.51999999999</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25.4</v>
      </c>
      <c r="D63" s="143">
        <v>33.22</v>
      </c>
      <c r="E63" s="116">
        <f t="shared" si="10"/>
        <v>58.62</v>
      </c>
      <c r="F63" s="457" t="s">
        <v>14</v>
      </c>
      <c r="G63" s="456">
        <v>251</v>
      </c>
      <c r="H63" s="470">
        <f>'1461'!H63</f>
        <v>835</v>
      </c>
      <c r="I63" s="101">
        <f t="shared" si="11"/>
        <v>48947.7</v>
      </c>
      <c r="N63" s="639"/>
      <c r="O63" s="639"/>
      <c r="P63" s="642"/>
      <c r="Q63" s="642"/>
      <c r="R63" s="40" t="s">
        <v>14</v>
      </c>
      <c r="S63" s="462">
        <v>251</v>
      </c>
      <c r="T63" s="473">
        <f t="shared" si="12"/>
        <v>835</v>
      </c>
      <c r="U63" s="487">
        <f t="shared" si="13"/>
        <v>0</v>
      </c>
      <c r="V63" s="438"/>
    </row>
    <row r="64" spans="1:22" x14ac:dyDescent="0.25">
      <c r="A64" s="607"/>
      <c r="B64" s="607"/>
      <c r="C64" s="143">
        <v>4.03</v>
      </c>
      <c r="D64" s="143">
        <v>4.92</v>
      </c>
      <c r="E64" s="116">
        <f t="shared" si="10"/>
        <v>8.9499999999999993</v>
      </c>
      <c r="F64" s="457" t="s">
        <v>14</v>
      </c>
      <c r="G64" s="456">
        <v>252</v>
      </c>
      <c r="H64" s="470">
        <f>'1461'!H64</f>
        <v>3168</v>
      </c>
      <c r="I64" s="101">
        <f t="shared" si="11"/>
        <v>28353.599999999999</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29.43</v>
      </c>
      <c r="D66" s="97">
        <f>SUM(D57:D65)</f>
        <v>38.14</v>
      </c>
      <c r="E66" s="97">
        <f>SUM(E57:E65)</f>
        <v>67.569999999999993</v>
      </c>
      <c r="F66" s="608" t="s">
        <v>471</v>
      </c>
      <c r="G66" s="608"/>
      <c r="H66" s="608"/>
      <c r="I66" s="97">
        <f>SUM(I57:I65)</f>
        <v>77301.299999999988</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382.94000000000005</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1.8890000000000001E-3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382.27859999999998</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1.676E-3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382.94000000000005</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2.0509999999999999E-3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382.94000000000005</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1.8929999999999999E-3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382.94000000000005</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2.055E-3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1.8929999999999999E-3</v>
      </c>
      <c r="I85" s="101">
        <f>ROUND(F85*H85,2)</f>
        <v>84243.51</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1.8890000000000001E-3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2.055E-3</v>
      </c>
      <c r="I90" s="101">
        <f>ROUND(F90*H90,2)</f>
        <v>33515.339999999997</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2.0509999999999999E-3</v>
      </c>
      <c r="I92" s="101">
        <f t="shared" ref="I92:I96" si="14">ROUND(F92*H92,2)</f>
        <v>20814.89</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1.676E-3</v>
      </c>
      <c r="I94" s="101">
        <f t="shared" si="14"/>
        <v>400560.1</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1.676E-3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1.8890000000000001E-3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382.27859999999998</v>
      </c>
      <c r="D106" s="614"/>
      <c r="E106" s="46">
        <f>H8</f>
        <v>1.0442</v>
      </c>
      <c r="F106" s="302">
        <f>'1461'!F106</f>
        <v>906.93</v>
      </c>
      <c r="G106" s="39" t="s">
        <v>12</v>
      </c>
      <c r="H106" s="94">
        <f>ROUND(C106*E106*F106,2)</f>
        <v>362024.07</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382.27859999999998</v>
      </c>
      <c r="D107" s="604"/>
      <c r="E107" s="123"/>
      <c r="F107" s="123"/>
      <c r="G107" s="123"/>
      <c r="H107" s="124" t="s">
        <v>100</v>
      </c>
      <c r="I107" s="101">
        <f>IF(A1=75,0,H106+H105+H104)</f>
        <v>362024.07</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254</v>
      </c>
      <c r="D113" s="143">
        <v>309</v>
      </c>
      <c r="E113" s="116">
        <f>(C113+D113)/2</f>
        <v>281.5</v>
      </c>
      <c r="F113" s="126" t="s">
        <v>30</v>
      </c>
      <c r="G113" s="303">
        <f>'1461'!G113</f>
        <v>536</v>
      </c>
      <c r="I113" s="101">
        <f>ROUND(G113*E113,2)</f>
        <v>150884</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3180996.5499999993</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3069582.0299999993</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3069582.0299999993</v>
      </c>
      <c r="I135" s="94">
        <f>ROUND(IF(E30=0,0,IF(E30&gt;250,-(((250/E30)*H135)*IF(G135="H",0.02,0.05)),IF(G135="H",-0.02*H135,-0.05*H135))),2)</f>
        <v>-100197.88</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3080798.6699999995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-3087044.79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-6246.1200000005774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-6246.12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53281.22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123</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96.11</v>
      </c>
      <c r="D14" s="141">
        <v>94.69</v>
      </c>
      <c r="E14" s="187">
        <f>IF(D$30=0,C14*2,C14+D14)</f>
        <v>190.8</v>
      </c>
      <c r="F14" s="687">
        <f>'1461'!F14:G14</f>
        <v>1.1220000000000001</v>
      </c>
      <c r="G14" s="687"/>
      <c r="H14" s="145">
        <f>ROUND(E14*F14,4)</f>
        <v>214.07759999999999</v>
      </c>
      <c r="I14" s="111">
        <f>ROUND(ROUND(ROUND(H14*$C$8,4)*($H$8),2)*(MAX($H$9,1)),2)</f>
        <v>1148934.3700000001</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23</v>
      </c>
      <c r="D15" s="143">
        <v>23</v>
      </c>
      <c r="E15" s="116">
        <f t="shared" ref="E15:E29" si="1">IF(D$30=0,C15*2,C15+D15)</f>
        <v>46</v>
      </c>
      <c r="F15" s="679">
        <f>'1461'!F15:G15</f>
        <v>1.1220000000000001</v>
      </c>
      <c r="G15" s="679"/>
      <c r="H15" s="80">
        <f t="shared" ref="H15:H29" si="2">ROUND(E15*F15,4)</f>
        <v>51.612000000000002</v>
      </c>
      <c r="I15" s="101">
        <f t="shared" ref="I15:I29" si="3">ROUND(ROUND(ROUND(H15*$C$8,4)*($H$8),2)*(MAX($H$9,1)),2)</f>
        <v>276996.76</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50.21</v>
      </c>
      <c r="D16" s="143">
        <v>49.69</v>
      </c>
      <c r="E16" s="116">
        <f t="shared" si="1"/>
        <v>99.9</v>
      </c>
      <c r="F16" s="679">
        <f>'1461'!F16:G16</f>
        <v>1</v>
      </c>
      <c r="G16" s="679"/>
      <c r="H16" s="80">
        <f t="shared" si="2"/>
        <v>99.9</v>
      </c>
      <c r="I16" s="101">
        <f t="shared" si="3"/>
        <v>536153.92000000004</v>
      </c>
      <c r="N16" s="621" t="s">
        <v>22</v>
      </c>
      <c r="O16" s="621"/>
      <c r="P16" s="662">
        <f t="shared" si="0"/>
        <v>0</v>
      </c>
      <c r="Q16" s="662"/>
      <c r="R16" s="667">
        <v>1</v>
      </c>
      <c r="S16" s="667"/>
      <c r="T16" s="95">
        <f t="shared" si="4"/>
        <v>0</v>
      </c>
      <c r="U16" s="486">
        <f t="shared" si="5"/>
        <v>0</v>
      </c>
    </row>
    <row r="17" spans="1:21" x14ac:dyDescent="0.25">
      <c r="A17" s="596" t="s">
        <v>23</v>
      </c>
      <c r="B17" s="596"/>
      <c r="C17" s="143">
        <v>12</v>
      </c>
      <c r="D17" s="143">
        <v>12.5</v>
      </c>
      <c r="E17" s="116">
        <f t="shared" si="1"/>
        <v>24.5</v>
      </c>
      <c r="F17" s="679">
        <f>'1461'!F17:G17</f>
        <v>1</v>
      </c>
      <c r="G17" s="679"/>
      <c r="H17" s="80">
        <f t="shared" si="2"/>
        <v>24.5</v>
      </c>
      <c r="I17" s="101">
        <f t="shared" si="3"/>
        <v>131489.20000000001</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5.39</v>
      </c>
      <c r="D26" s="143">
        <v>5.8</v>
      </c>
      <c r="E26" s="116">
        <f t="shared" si="1"/>
        <v>11.19</v>
      </c>
      <c r="F26" s="679">
        <f>'1461'!F26:G26</f>
        <v>1.208</v>
      </c>
      <c r="G26" s="679"/>
      <c r="H26" s="80">
        <f t="shared" si="2"/>
        <v>13.5175</v>
      </c>
      <c r="I26" s="101">
        <f t="shared" si="3"/>
        <v>72547.149999999994</v>
      </c>
      <c r="N26" s="621" t="s">
        <v>85</v>
      </c>
      <c r="O26" s="621"/>
      <c r="P26" s="662">
        <f t="shared" si="0"/>
        <v>0</v>
      </c>
      <c r="Q26" s="662"/>
      <c r="R26" s="667">
        <v>1</v>
      </c>
      <c r="S26" s="667"/>
      <c r="T26" s="95">
        <f t="shared" si="4"/>
        <v>0</v>
      </c>
      <c r="U26" s="486">
        <f t="shared" si="5"/>
        <v>0</v>
      </c>
    </row>
    <row r="27" spans="1:21" x14ac:dyDescent="0.25">
      <c r="A27" s="596" t="s">
        <v>86</v>
      </c>
      <c r="B27" s="596"/>
      <c r="C27" s="143">
        <v>0.78</v>
      </c>
      <c r="D27" s="143">
        <v>0.82</v>
      </c>
      <c r="E27" s="116">
        <f t="shared" si="1"/>
        <v>1.6</v>
      </c>
      <c r="F27" s="679">
        <f>'1461'!F27:G27</f>
        <v>1.208</v>
      </c>
      <c r="G27" s="679"/>
      <c r="H27" s="80">
        <f t="shared" si="2"/>
        <v>1.9328000000000001</v>
      </c>
      <c r="I27" s="101">
        <f t="shared" si="3"/>
        <v>10373.16</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187.48999999999998</v>
      </c>
      <c r="D30" s="94">
        <f>SUM(D14:D29)</f>
        <v>186.5</v>
      </c>
      <c r="E30" s="94">
        <f>SUM(E14:E29)</f>
        <v>373.99000000000007</v>
      </c>
      <c r="F30" s="600"/>
      <c r="G30" s="600"/>
      <c r="H30" s="99">
        <f>SUM(H14:H29)</f>
        <v>405.53989999999999</v>
      </c>
      <c r="I30" s="94">
        <f>SUM(I14:I29)</f>
        <v>2176494.5600000005</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405.53989999999999</v>
      </c>
      <c r="F46" s="34"/>
      <c r="G46" s="106"/>
      <c r="H46" s="107" t="s">
        <v>98</v>
      </c>
      <c r="I46" s="94">
        <f>SUM(I44,I30)</f>
        <v>2176494.5600000005</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2040500.9</v>
      </c>
      <c r="G51" s="109" t="s">
        <v>6</v>
      </c>
      <c r="H51" s="415">
        <v>4.5199999999999997E-2</v>
      </c>
      <c r="I51" s="101">
        <f>ROUND(F51*H51,2)</f>
        <v>92230.64</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2040500.9</v>
      </c>
      <c r="G52" s="109" t="s">
        <v>6</v>
      </c>
      <c r="H52" s="415">
        <v>1.41E-2</v>
      </c>
      <c r="I52" s="101">
        <f>ROUND(F52*H52,2)</f>
        <v>28771.06</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121001.7</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20.5</v>
      </c>
      <c r="D57" s="143">
        <v>20.49</v>
      </c>
      <c r="E57" s="116">
        <f t="shared" ref="E57:E65" si="10">IF(D$66=0,C57*2,C57+D57)</f>
        <v>40.989999999999995</v>
      </c>
      <c r="F57" s="456" t="s">
        <v>462</v>
      </c>
      <c r="G57" s="456">
        <v>251</v>
      </c>
      <c r="H57" s="470">
        <f>'1461'!H57</f>
        <v>1047</v>
      </c>
      <c r="I57" s="101">
        <f>ROUND(E57*H57,2)</f>
        <v>42916.53</v>
      </c>
      <c r="N57" s="638" t="s">
        <v>470</v>
      </c>
      <c r="O57" s="638"/>
      <c r="P57" s="641"/>
      <c r="Q57" s="641"/>
      <c r="R57" s="462" t="s">
        <v>462</v>
      </c>
      <c r="S57" s="462">
        <v>251</v>
      </c>
      <c r="T57" s="473">
        <f>H57</f>
        <v>1047</v>
      </c>
      <c r="U57" s="487">
        <f>ROUND(P57*T57,2)</f>
        <v>0</v>
      </c>
      <c r="V57" s="438"/>
    </row>
    <row r="58" spans="1:22" x14ac:dyDescent="0.25">
      <c r="A58" s="607"/>
      <c r="B58" s="607"/>
      <c r="C58" s="143">
        <v>2.5</v>
      </c>
      <c r="D58" s="143">
        <v>2.5099999999999998</v>
      </c>
      <c r="E58" s="116">
        <f t="shared" si="10"/>
        <v>5.01</v>
      </c>
      <c r="F58" s="456" t="s">
        <v>462</v>
      </c>
      <c r="G58" s="456">
        <v>252</v>
      </c>
      <c r="H58" s="470">
        <f>'1461'!H58</f>
        <v>3380</v>
      </c>
      <c r="I58" s="101">
        <f t="shared" ref="I58:I65" si="11">ROUND(E58*H58,2)</f>
        <v>16933.8</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11.5</v>
      </c>
      <c r="D60" s="143">
        <v>12</v>
      </c>
      <c r="E60" s="116">
        <f t="shared" si="10"/>
        <v>23.5</v>
      </c>
      <c r="F60" s="457" t="s">
        <v>13</v>
      </c>
      <c r="G60" s="456">
        <v>251</v>
      </c>
      <c r="H60" s="470">
        <f>'1461'!H60</f>
        <v>1173</v>
      </c>
      <c r="I60" s="101">
        <f t="shared" si="11"/>
        <v>27565.5</v>
      </c>
      <c r="N60" s="639"/>
      <c r="O60" s="639"/>
      <c r="P60" s="642"/>
      <c r="Q60" s="642"/>
      <c r="R60" s="40" t="s">
        <v>13</v>
      </c>
      <c r="S60" s="462">
        <v>251</v>
      </c>
      <c r="T60" s="473">
        <f t="shared" si="12"/>
        <v>1173</v>
      </c>
      <c r="U60" s="487">
        <f t="shared" si="13"/>
        <v>0</v>
      </c>
      <c r="V60" s="438"/>
    </row>
    <row r="61" spans="1:22" x14ac:dyDescent="0.25">
      <c r="A61" s="607"/>
      <c r="B61" s="607"/>
      <c r="C61" s="143">
        <v>0.5</v>
      </c>
      <c r="D61" s="143">
        <v>0.5</v>
      </c>
      <c r="E61" s="116">
        <f t="shared" si="10"/>
        <v>1</v>
      </c>
      <c r="F61" s="457" t="s">
        <v>13</v>
      </c>
      <c r="G61" s="456">
        <v>252</v>
      </c>
      <c r="H61" s="470">
        <f>'1461'!H61</f>
        <v>3506</v>
      </c>
      <c r="I61" s="101">
        <f t="shared" si="11"/>
        <v>3506</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35</v>
      </c>
      <c r="D66" s="97">
        <f>SUM(D57:D65)</f>
        <v>35.5</v>
      </c>
      <c r="E66" s="97">
        <f>SUM(E57:E65)</f>
        <v>70.5</v>
      </c>
      <c r="F66" s="608" t="s">
        <v>471</v>
      </c>
      <c r="G66" s="608"/>
      <c r="H66" s="608"/>
      <c r="I66" s="97">
        <f>SUM(I57:I65)</f>
        <v>90921.83</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373.99000000000007</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1.8450000000000001E-3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405.53989999999999</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1.7780000000000001E-3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373.99000000000007</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2.003E-3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373.99000000000007</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1.848E-3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373.99000000000007</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2.0070000000000001E-3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1.848E-3</v>
      </c>
      <c r="I85" s="101">
        <f>ROUND(F85*H85,2)</f>
        <v>82240.89</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1.8450000000000001E-3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2.0070000000000001E-3</v>
      </c>
      <c r="I90" s="101">
        <f>ROUND(F90*H90,2)</f>
        <v>32732.5</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2.003E-3</v>
      </c>
      <c r="I92" s="101">
        <f t="shared" ref="I92:I96" si="14">ROUND(F92*H92,2)</f>
        <v>20327.75</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1.7780000000000001E-3</v>
      </c>
      <c r="I94" s="101">
        <f t="shared" si="14"/>
        <v>424937.86</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1.7780000000000001E-3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1.8450000000000001E-3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279.20709999999997</v>
      </c>
      <c r="D104" s="614"/>
      <c r="E104" s="46">
        <f>H8</f>
        <v>1.0442</v>
      </c>
      <c r="F104" s="302">
        <f>'1461'!F104</f>
        <v>947.59</v>
      </c>
      <c r="G104" s="39" t="s">
        <v>12</v>
      </c>
      <c r="H104" s="101">
        <f>ROUND(C104*E104*F104,2)</f>
        <v>276268.02</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126.33280000000001</v>
      </c>
      <c r="D105" s="614"/>
      <c r="E105" s="46">
        <f>H8</f>
        <v>1.0442</v>
      </c>
      <c r="F105" s="302">
        <f>'1461'!F105</f>
        <v>904.74</v>
      </c>
      <c r="G105" s="39" t="s">
        <v>12</v>
      </c>
      <c r="H105" s="101">
        <f>ROUND(C105*E105*F105,2)</f>
        <v>119350.32</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405.53989999999999</v>
      </c>
      <c r="D107" s="604"/>
      <c r="E107" s="123"/>
      <c r="F107" s="123"/>
      <c r="G107" s="123"/>
      <c r="H107" s="124" t="s">
        <v>100</v>
      </c>
      <c r="I107" s="101">
        <f>IF(A1=75,0,H106+H105+H104)</f>
        <v>395618.34</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0</v>
      </c>
      <c r="D113" s="143">
        <v>0</v>
      </c>
      <c r="E113" s="116">
        <f>(C113+D113)/2</f>
        <v>0</v>
      </c>
      <c r="F113" s="126" t="s">
        <v>30</v>
      </c>
      <c r="G113" s="303">
        <f>'1461'!G113</f>
        <v>536</v>
      </c>
      <c r="I113" s="101">
        <f>ROUND(G113*E113,2)</f>
        <v>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3223273.7300000004</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3102272.0300000003</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3102272.0300000003</v>
      </c>
      <c r="I135" s="94">
        <f>ROUND(IF(E30=0,0,IF(E30&gt;250,-(((250/E30)*H135)*IF(G135="H",0.02,0.05)),IF(G135="H",-0.02*H135,-0.05*H135))),2)</f>
        <v>-41475.33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3181798.4000000004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-3183895.7600000002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-2097.3599999998696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-2097.36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20570.11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topLeftCell="A25"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124</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132.04</v>
      </c>
      <c r="D18" s="143">
        <v>177.8</v>
      </c>
      <c r="E18" s="116">
        <f t="shared" si="1"/>
        <v>309.84000000000003</v>
      </c>
      <c r="F18" s="679">
        <f>'1461'!F18:G18</f>
        <v>0.98799999999999999</v>
      </c>
      <c r="G18" s="679"/>
      <c r="H18" s="80">
        <f t="shared" si="2"/>
        <v>306.12189999999998</v>
      </c>
      <c r="I18" s="101">
        <f t="shared" si="3"/>
        <v>1642927.48</v>
      </c>
      <c r="N18" s="621" t="s">
        <v>24</v>
      </c>
      <c r="O18" s="621"/>
      <c r="P18" s="662">
        <f t="shared" si="0"/>
        <v>0</v>
      </c>
      <c r="Q18" s="662"/>
      <c r="R18" s="667">
        <v>1</v>
      </c>
      <c r="S18" s="667"/>
      <c r="T18" s="95">
        <f t="shared" si="4"/>
        <v>0</v>
      </c>
      <c r="U18" s="486">
        <f t="shared" si="5"/>
        <v>0</v>
      </c>
    </row>
    <row r="19" spans="1:21" x14ac:dyDescent="0.25">
      <c r="A19" s="596" t="s">
        <v>25</v>
      </c>
      <c r="B19" s="596"/>
      <c r="C19" s="143">
        <v>28.46</v>
      </c>
      <c r="D19" s="143">
        <v>42.63</v>
      </c>
      <c r="E19" s="116">
        <f t="shared" si="1"/>
        <v>71.09</v>
      </c>
      <c r="F19" s="679">
        <f>'1461'!F19:G19</f>
        <v>0.98799999999999999</v>
      </c>
      <c r="G19" s="679"/>
      <c r="H19" s="80">
        <f t="shared" si="2"/>
        <v>70.236900000000006</v>
      </c>
      <c r="I19" s="101">
        <f t="shared" si="3"/>
        <v>376954.84</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11.4</v>
      </c>
      <c r="D28" s="143">
        <v>11.23</v>
      </c>
      <c r="E28" s="116">
        <f t="shared" si="1"/>
        <v>22.630000000000003</v>
      </c>
      <c r="F28" s="679">
        <f>'1461'!F28:G28</f>
        <v>1.208</v>
      </c>
      <c r="G28" s="679"/>
      <c r="H28" s="80">
        <f t="shared" si="2"/>
        <v>27.337</v>
      </c>
      <c r="I28" s="101">
        <f t="shared" si="3"/>
        <v>146715.10999999999</v>
      </c>
      <c r="N28" s="621" t="s">
        <v>87</v>
      </c>
      <c r="O28" s="621"/>
      <c r="P28" s="662">
        <f t="shared" si="0"/>
        <v>0</v>
      </c>
      <c r="Q28" s="662"/>
      <c r="R28" s="667">
        <v>1</v>
      </c>
      <c r="S28" s="667"/>
      <c r="T28" s="95">
        <f t="shared" si="4"/>
        <v>0</v>
      </c>
      <c r="U28" s="486">
        <f t="shared" si="5"/>
        <v>0</v>
      </c>
    </row>
    <row r="29" spans="1:21" x14ac:dyDescent="0.25">
      <c r="A29" s="596" t="s">
        <v>88</v>
      </c>
      <c r="B29" s="596"/>
      <c r="C29" s="110">
        <v>1.2</v>
      </c>
      <c r="D29" s="110">
        <v>1.5</v>
      </c>
      <c r="E29" s="154">
        <f t="shared" si="1"/>
        <v>2.7</v>
      </c>
      <c r="F29" s="679">
        <f>'1461'!F29:G29</f>
        <v>1.0720000000000001</v>
      </c>
      <c r="G29" s="679"/>
      <c r="H29" s="93">
        <f t="shared" si="2"/>
        <v>2.8944000000000001</v>
      </c>
      <c r="I29" s="94">
        <f t="shared" si="3"/>
        <v>15533.97</v>
      </c>
      <c r="N29" s="636" t="s">
        <v>88</v>
      </c>
      <c r="O29" s="636"/>
      <c r="P29" s="662">
        <f t="shared" si="0"/>
        <v>0</v>
      </c>
      <c r="Q29" s="662"/>
      <c r="R29" s="663">
        <v>1</v>
      </c>
      <c r="S29" s="663"/>
      <c r="T29" s="95">
        <f t="shared" si="4"/>
        <v>0</v>
      </c>
      <c r="U29" s="486">
        <f t="shared" si="5"/>
        <v>0</v>
      </c>
    </row>
    <row r="30" spans="1:21" x14ac:dyDescent="0.25">
      <c r="A30" s="608" t="s">
        <v>5</v>
      </c>
      <c r="B30" s="608"/>
      <c r="C30" s="94">
        <f>SUM(C14:C29)</f>
        <v>173.1</v>
      </c>
      <c r="D30" s="94">
        <f>SUM(D14:D29)</f>
        <v>233.16</v>
      </c>
      <c r="E30" s="94">
        <f>SUM(E14:E29)</f>
        <v>406.26000000000005</v>
      </c>
      <c r="F30" s="600"/>
      <c r="G30" s="600"/>
      <c r="H30" s="99">
        <f>SUM(H14:H29)</f>
        <v>406.59019999999998</v>
      </c>
      <c r="I30" s="94">
        <f>SUM(I14:I29)</f>
        <v>2182131.4000000004</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406.59019999999998</v>
      </c>
      <c r="F46" s="34"/>
      <c r="G46" s="106"/>
      <c r="H46" s="107" t="s">
        <v>98</v>
      </c>
      <c r="I46" s="94">
        <f>SUM(I44,I30)</f>
        <v>2182131.4000000004</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1745000.67</v>
      </c>
      <c r="G51" s="109" t="s">
        <v>6</v>
      </c>
      <c r="H51" s="415">
        <v>4.5199999999999997E-2</v>
      </c>
      <c r="I51" s="101">
        <f>ROUND(F51*H51,2)</f>
        <v>78874.03</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1745000.67</v>
      </c>
      <c r="G52" s="109" t="s">
        <v>6</v>
      </c>
      <c r="H52" s="415">
        <v>1.41E-2</v>
      </c>
      <c r="I52" s="101">
        <f>ROUND(F52*H52,2)</f>
        <v>24604.51</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103478.54</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27.96</v>
      </c>
      <c r="D63" s="143">
        <v>39.92</v>
      </c>
      <c r="E63" s="116">
        <f t="shared" si="10"/>
        <v>67.88</v>
      </c>
      <c r="F63" s="457" t="s">
        <v>14</v>
      </c>
      <c r="G63" s="456">
        <v>251</v>
      </c>
      <c r="H63" s="470">
        <f>'1461'!H63</f>
        <v>835</v>
      </c>
      <c r="I63" s="101">
        <f t="shared" si="11"/>
        <v>56679.8</v>
      </c>
      <c r="N63" s="639"/>
      <c r="O63" s="639"/>
      <c r="P63" s="642"/>
      <c r="Q63" s="642"/>
      <c r="R63" s="40" t="s">
        <v>14</v>
      </c>
      <c r="S63" s="462">
        <v>251</v>
      </c>
      <c r="T63" s="473">
        <f t="shared" si="12"/>
        <v>835</v>
      </c>
      <c r="U63" s="487">
        <f t="shared" si="13"/>
        <v>0</v>
      </c>
      <c r="V63" s="438"/>
    </row>
    <row r="64" spans="1:22" x14ac:dyDescent="0.25">
      <c r="A64" s="607"/>
      <c r="B64" s="607"/>
      <c r="C64" s="143">
        <v>0.5</v>
      </c>
      <c r="D64" s="143">
        <v>2.31</v>
      </c>
      <c r="E64" s="116">
        <f t="shared" si="10"/>
        <v>2.81</v>
      </c>
      <c r="F64" s="457" t="s">
        <v>14</v>
      </c>
      <c r="G64" s="456">
        <v>252</v>
      </c>
      <c r="H64" s="470">
        <f>'1461'!H64</f>
        <v>3168</v>
      </c>
      <c r="I64" s="101">
        <f t="shared" si="11"/>
        <v>8902.08</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0.4</v>
      </c>
      <c r="E65" s="116">
        <f t="shared" si="10"/>
        <v>0.4</v>
      </c>
      <c r="F65" s="457" t="s">
        <v>14</v>
      </c>
      <c r="G65" s="456">
        <v>253</v>
      </c>
      <c r="H65" s="470">
        <f>'1461'!H65</f>
        <v>6685</v>
      </c>
      <c r="I65" s="101">
        <f t="shared" si="11"/>
        <v>2674</v>
      </c>
      <c r="N65" s="639"/>
      <c r="O65" s="639"/>
      <c r="P65" s="643"/>
      <c r="Q65" s="643"/>
      <c r="R65" s="40" t="s">
        <v>14</v>
      </c>
      <c r="S65" s="462">
        <v>253</v>
      </c>
      <c r="T65" s="473">
        <f t="shared" si="12"/>
        <v>6685</v>
      </c>
      <c r="U65" s="488">
        <f t="shared" si="13"/>
        <v>0</v>
      </c>
      <c r="V65" s="438"/>
    </row>
    <row r="66" spans="1:22" ht="16.5" thickBot="1" x14ac:dyDescent="0.3">
      <c r="A66" s="453"/>
      <c r="C66" s="97">
        <f>SUM(C57:C65)</f>
        <v>28.46</v>
      </c>
      <c r="D66" s="97">
        <f>SUM(D57:D65)</f>
        <v>42.63</v>
      </c>
      <c r="E66" s="97">
        <f>SUM(E57:E65)</f>
        <v>71.09</v>
      </c>
      <c r="F66" s="608" t="s">
        <v>471</v>
      </c>
      <c r="G66" s="608"/>
      <c r="H66" s="608"/>
      <c r="I66" s="97">
        <f>SUM(I57:I65)</f>
        <v>68255.88</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406.26000000000005</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2.0040000000000001E-3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406.59019999999998</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1.7830000000000001E-3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406.26000000000005</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2.176E-3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406.26000000000005</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2.0079999999999998E-3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406.26000000000005</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2.1800000000000001E-3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2.0079999999999998E-3</v>
      </c>
      <c r="I85" s="101">
        <f>ROUND(F85*H85,2)</f>
        <v>89361.31</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2.0040000000000001E-3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2.1800000000000001E-3</v>
      </c>
      <c r="I90" s="101">
        <f>ROUND(F90*H90,2)</f>
        <v>35553.99</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2.176E-3</v>
      </c>
      <c r="I92" s="101">
        <f t="shared" ref="I92:I96" si="14">ROUND(F92*H92,2)</f>
        <v>22083.47</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1.7830000000000001E-3</v>
      </c>
      <c r="I94" s="101">
        <f t="shared" si="14"/>
        <v>426132.85</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1.7830000000000001E-3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2.0040000000000001E-3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406.59019999999998</v>
      </c>
      <c r="D106" s="614"/>
      <c r="E106" s="46">
        <f>H8</f>
        <v>1.0442</v>
      </c>
      <c r="F106" s="302">
        <f>'1461'!F106</f>
        <v>906.93</v>
      </c>
      <c r="G106" s="39" t="s">
        <v>12</v>
      </c>
      <c r="H106" s="94">
        <f>ROUND(C106*E106*F106,2)</f>
        <v>385047.55</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406.59019999999998</v>
      </c>
      <c r="D107" s="604"/>
      <c r="E107" s="123"/>
      <c r="F107" s="123"/>
      <c r="G107" s="123"/>
      <c r="H107" s="124" t="s">
        <v>100</v>
      </c>
      <c r="I107" s="101">
        <f>IF(A1=75,0,H106+H105+H104)</f>
        <v>385047.55</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102</v>
      </c>
      <c r="D113" s="143">
        <v>141</v>
      </c>
      <c r="E113" s="116">
        <f>(C113+D113)/2</f>
        <v>121.5</v>
      </c>
      <c r="F113" s="126" t="s">
        <v>30</v>
      </c>
      <c r="G113" s="303">
        <f>'1461'!G113</f>
        <v>536</v>
      </c>
      <c r="I113" s="101">
        <f>ROUND(G113*E113,2)</f>
        <v>65124</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3273690.4500000007</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3170211.9100000006</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3170211.9100000006</v>
      </c>
      <c r="I135" s="94">
        <f>ROUND(IF(E30=0,0,IF(E30&gt;250,-(((250/E30)*H135)*IF(G135="H",0.02,0.05)),IF(G135="H",-0.02*H135,-0.05*H135))),2)</f>
        <v>-97542.58</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3176147.8700000006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-3181063.11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-4915.2399999992922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-4915.24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60968.02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topLeftCell="A27"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125</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191.84</v>
      </c>
      <c r="D14" s="141">
        <v>185.28</v>
      </c>
      <c r="E14" s="187">
        <f>IF(D$30=0,C14*2,C14+D14)</f>
        <v>377.12</v>
      </c>
      <c r="F14" s="687">
        <f>'1461'!F14:G14</f>
        <v>1.1220000000000001</v>
      </c>
      <c r="G14" s="687"/>
      <c r="H14" s="145">
        <f>ROUND(E14*F14,4)</f>
        <v>423.12860000000001</v>
      </c>
      <c r="I14" s="111">
        <f>ROUND(ROUND(ROUND(H14*$C$8,4)*($H$8),2)*(MAX($H$9,1)),2)</f>
        <v>2270891.4500000002</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29.51</v>
      </c>
      <c r="D15" s="143">
        <v>32.9</v>
      </c>
      <c r="E15" s="116">
        <f t="shared" ref="E15:E29" si="1">IF(D$30=0,C15*2,C15+D15)</f>
        <v>62.41</v>
      </c>
      <c r="F15" s="679">
        <f>'1461'!F15:G15</f>
        <v>1.1220000000000001</v>
      </c>
      <c r="G15" s="679"/>
      <c r="H15" s="80">
        <f t="shared" ref="H15:H29" si="2">ROUND(E15*F15,4)</f>
        <v>70.024000000000001</v>
      </c>
      <c r="I15" s="101">
        <f t="shared" ref="I15:I29" si="3">ROUND(ROUND(ROUND(H15*$C$8,4)*($H$8),2)*(MAX($H$9,1)),2)</f>
        <v>375812.23</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220.66</v>
      </c>
      <c r="D16" s="143">
        <v>215.94</v>
      </c>
      <c r="E16" s="116">
        <f t="shared" si="1"/>
        <v>436.6</v>
      </c>
      <c r="F16" s="679">
        <f>'1461'!F16:G16</f>
        <v>1</v>
      </c>
      <c r="G16" s="679"/>
      <c r="H16" s="80">
        <f t="shared" si="2"/>
        <v>436.6</v>
      </c>
      <c r="I16" s="101">
        <f t="shared" si="3"/>
        <v>2343191.19</v>
      </c>
      <c r="N16" s="621" t="s">
        <v>22</v>
      </c>
      <c r="O16" s="621"/>
      <c r="P16" s="662">
        <f t="shared" si="0"/>
        <v>0</v>
      </c>
      <c r="Q16" s="662"/>
      <c r="R16" s="667">
        <v>1</v>
      </c>
      <c r="S16" s="667"/>
      <c r="T16" s="95">
        <f t="shared" si="4"/>
        <v>0</v>
      </c>
      <c r="U16" s="486">
        <f t="shared" si="5"/>
        <v>0</v>
      </c>
    </row>
    <row r="17" spans="1:21" x14ac:dyDescent="0.25">
      <c r="A17" s="596" t="s">
        <v>23</v>
      </c>
      <c r="B17" s="596"/>
      <c r="C17" s="143">
        <v>32.020000000000003</v>
      </c>
      <c r="D17" s="143">
        <v>28.48</v>
      </c>
      <c r="E17" s="116">
        <f t="shared" si="1"/>
        <v>60.5</v>
      </c>
      <c r="F17" s="679">
        <f>'1461'!F17:G17</f>
        <v>1</v>
      </c>
      <c r="G17" s="679"/>
      <c r="H17" s="80">
        <f t="shared" si="2"/>
        <v>60.5</v>
      </c>
      <c r="I17" s="101">
        <f t="shared" si="3"/>
        <v>324697.82</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18.46</v>
      </c>
      <c r="D26" s="143">
        <v>19.36</v>
      </c>
      <c r="E26" s="116">
        <f t="shared" si="1"/>
        <v>37.82</v>
      </c>
      <c r="F26" s="679">
        <f>'1461'!F26:G26</f>
        <v>1.208</v>
      </c>
      <c r="G26" s="679"/>
      <c r="H26" s="80">
        <f t="shared" si="2"/>
        <v>45.686599999999999</v>
      </c>
      <c r="I26" s="101">
        <f t="shared" si="3"/>
        <v>245195.69</v>
      </c>
      <c r="N26" s="621" t="s">
        <v>85</v>
      </c>
      <c r="O26" s="621"/>
      <c r="P26" s="662">
        <f t="shared" si="0"/>
        <v>0</v>
      </c>
      <c r="Q26" s="662"/>
      <c r="R26" s="667">
        <v>1</v>
      </c>
      <c r="S26" s="667"/>
      <c r="T26" s="95">
        <f t="shared" si="4"/>
        <v>0</v>
      </c>
      <c r="U26" s="486">
        <f t="shared" si="5"/>
        <v>0</v>
      </c>
    </row>
    <row r="27" spans="1:21" x14ac:dyDescent="0.25">
      <c r="A27" s="596" t="s">
        <v>86</v>
      </c>
      <c r="B27" s="596"/>
      <c r="C27" s="143">
        <v>4.3499999999999996</v>
      </c>
      <c r="D27" s="143">
        <v>5.86</v>
      </c>
      <c r="E27" s="116">
        <f t="shared" si="1"/>
        <v>10.210000000000001</v>
      </c>
      <c r="F27" s="679">
        <f>'1461'!F27:G27</f>
        <v>1.208</v>
      </c>
      <c r="G27" s="679"/>
      <c r="H27" s="80">
        <f t="shared" si="2"/>
        <v>12.3337</v>
      </c>
      <c r="I27" s="101">
        <f t="shared" si="3"/>
        <v>66193.81</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496.84</v>
      </c>
      <c r="D30" s="94">
        <f>SUM(D14:D29)</f>
        <v>487.82000000000005</v>
      </c>
      <c r="E30" s="94">
        <f>SUM(E14:E29)</f>
        <v>984.66000000000008</v>
      </c>
      <c r="F30" s="600"/>
      <c r="G30" s="600"/>
      <c r="H30" s="99">
        <f>SUM(H14:H29)</f>
        <v>1048.2728999999999</v>
      </c>
      <c r="I30" s="94">
        <f>SUM(I14:I29)</f>
        <v>5625982.1900000004</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1048.2728999999999</v>
      </c>
      <c r="F46" s="34"/>
      <c r="G46" s="106"/>
      <c r="H46" s="107" t="s">
        <v>98</v>
      </c>
      <c r="I46" s="94">
        <f>SUM(I44,I30)</f>
        <v>5625982.1900000004</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5679885.7700000005</v>
      </c>
      <c r="G51" s="109" t="s">
        <v>6</v>
      </c>
      <c r="H51" s="415">
        <v>4.5199999999999997E-2</v>
      </c>
      <c r="I51" s="101">
        <f>ROUND(F51*H51,2)</f>
        <v>256730.84</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5679885.7700000005</v>
      </c>
      <c r="G52" s="109" t="s">
        <v>6</v>
      </c>
      <c r="H52" s="415">
        <v>1.41E-2</v>
      </c>
      <c r="I52" s="101">
        <f>ROUND(F52*H52,2)</f>
        <v>80086.39</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336817.23</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26.51</v>
      </c>
      <c r="D57" s="143">
        <v>28.99</v>
      </c>
      <c r="E57" s="116">
        <f t="shared" ref="E57:E65" si="10">IF(D$66=0,C57*2,C57+D57)</f>
        <v>55.5</v>
      </c>
      <c r="F57" s="456" t="s">
        <v>462</v>
      </c>
      <c r="G57" s="456">
        <v>251</v>
      </c>
      <c r="H57" s="470">
        <f>'1461'!H57</f>
        <v>1047</v>
      </c>
      <c r="I57" s="101">
        <f>ROUND(E57*H57,2)</f>
        <v>58108.5</v>
      </c>
      <c r="N57" s="638" t="s">
        <v>470</v>
      </c>
      <c r="O57" s="638"/>
      <c r="P57" s="641"/>
      <c r="Q57" s="641"/>
      <c r="R57" s="462" t="s">
        <v>462</v>
      </c>
      <c r="S57" s="462">
        <v>251</v>
      </c>
      <c r="T57" s="473">
        <f>H57</f>
        <v>1047</v>
      </c>
      <c r="U57" s="487">
        <f>ROUND(P57*T57,2)</f>
        <v>0</v>
      </c>
      <c r="V57" s="438"/>
    </row>
    <row r="58" spans="1:22" x14ac:dyDescent="0.25">
      <c r="A58" s="607"/>
      <c r="B58" s="607"/>
      <c r="C58" s="143">
        <v>3</v>
      </c>
      <c r="D58" s="143">
        <v>3.91</v>
      </c>
      <c r="E58" s="116">
        <f t="shared" si="10"/>
        <v>6.91</v>
      </c>
      <c r="F58" s="456" t="s">
        <v>462</v>
      </c>
      <c r="G58" s="456">
        <v>252</v>
      </c>
      <c r="H58" s="470">
        <f>'1461'!H58</f>
        <v>3380</v>
      </c>
      <c r="I58" s="101">
        <f t="shared" ref="I58:I65" si="11">ROUND(E58*H58,2)</f>
        <v>23355.8</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28.02</v>
      </c>
      <c r="D60" s="143">
        <v>24.47</v>
      </c>
      <c r="E60" s="116">
        <f t="shared" si="10"/>
        <v>52.489999999999995</v>
      </c>
      <c r="F60" s="457" t="s">
        <v>13</v>
      </c>
      <c r="G60" s="456">
        <v>251</v>
      </c>
      <c r="H60" s="470">
        <f>'1461'!H60</f>
        <v>1173</v>
      </c>
      <c r="I60" s="101">
        <f t="shared" si="11"/>
        <v>61570.77</v>
      </c>
      <c r="N60" s="639"/>
      <c r="O60" s="639"/>
      <c r="P60" s="642"/>
      <c r="Q60" s="642"/>
      <c r="R60" s="40" t="s">
        <v>13</v>
      </c>
      <c r="S60" s="462">
        <v>251</v>
      </c>
      <c r="T60" s="473">
        <f t="shared" si="12"/>
        <v>1173</v>
      </c>
      <c r="U60" s="487">
        <f t="shared" si="13"/>
        <v>0</v>
      </c>
      <c r="V60" s="438"/>
    </row>
    <row r="61" spans="1:22" x14ac:dyDescent="0.25">
      <c r="A61" s="607"/>
      <c r="B61" s="607"/>
      <c r="C61" s="143">
        <v>4</v>
      </c>
      <c r="D61" s="143">
        <v>4.01</v>
      </c>
      <c r="E61" s="116">
        <f t="shared" si="10"/>
        <v>8.01</v>
      </c>
      <c r="F61" s="457" t="s">
        <v>13</v>
      </c>
      <c r="G61" s="456">
        <v>252</v>
      </c>
      <c r="H61" s="470">
        <f>'1461'!H61</f>
        <v>3506</v>
      </c>
      <c r="I61" s="101">
        <f t="shared" si="11"/>
        <v>28083.06</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61.53</v>
      </c>
      <c r="D66" s="97">
        <f>SUM(D57:D65)</f>
        <v>61.379999999999995</v>
      </c>
      <c r="E66" s="97">
        <f>SUM(E57:E65)</f>
        <v>122.91</v>
      </c>
      <c r="F66" s="608" t="s">
        <v>471</v>
      </c>
      <c r="G66" s="608"/>
      <c r="H66" s="608"/>
      <c r="I66" s="97">
        <f>SUM(I57:I65)</f>
        <v>171118.13</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984.66000000000008</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4.8580000000000003E-3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1048.2728999999999</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4.5960000000000003E-3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984.66000000000008</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5.274E-3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984.66000000000008</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4.8659999999999997E-3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984.66000000000008</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5.2830000000000004E-3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4.8659999999999997E-3</v>
      </c>
      <c r="I85" s="101">
        <f>ROUND(F85*H85,2)</f>
        <v>216549.88</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4.8580000000000003E-3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5.2830000000000004E-3</v>
      </c>
      <c r="I90" s="101">
        <f>ROUND(F90*H90,2)</f>
        <v>86161.33</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5.274E-3</v>
      </c>
      <c r="I92" s="101">
        <f t="shared" ref="I92:I96" si="14">ROUND(F92*H92,2)</f>
        <v>53524</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4.5960000000000003E-3</v>
      </c>
      <c r="I94" s="101">
        <f t="shared" si="14"/>
        <v>1098433.31</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4.5960000000000003E-3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4.8580000000000003E-3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538.83920000000001</v>
      </c>
      <c r="D104" s="614"/>
      <c r="E104" s="46">
        <f>H8</f>
        <v>1.0442</v>
      </c>
      <c r="F104" s="302">
        <f>'1461'!F104</f>
        <v>947.59</v>
      </c>
      <c r="G104" s="39" t="s">
        <v>12</v>
      </c>
      <c r="H104" s="101">
        <f>ROUND(C104*E104*F104,2)</f>
        <v>533167.1</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509.43370000000004</v>
      </c>
      <c r="D105" s="614"/>
      <c r="E105" s="46">
        <f>H8</f>
        <v>1.0442</v>
      </c>
      <c r="F105" s="302">
        <f>'1461'!F105</f>
        <v>904.74</v>
      </c>
      <c r="G105" s="39" t="s">
        <v>12</v>
      </c>
      <c r="H105" s="101">
        <f>ROUND(C105*E105*F105,2)</f>
        <v>481277.05</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1048.2728999999999</v>
      </c>
      <c r="D107" s="604"/>
      <c r="E107" s="123"/>
      <c r="F107" s="123"/>
      <c r="G107" s="123"/>
      <c r="H107" s="124" t="s">
        <v>100</v>
      </c>
      <c r="I107" s="101">
        <f>IF(A1=75,0,H106+H105+H104)</f>
        <v>1014444.1499999999</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23</v>
      </c>
      <c r="D113" s="143">
        <v>22</v>
      </c>
      <c r="E113" s="116">
        <f>(C113+D113)/2</f>
        <v>22.5</v>
      </c>
      <c r="F113" s="126" t="s">
        <v>30</v>
      </c>
      <c r="G113" s="303">
        <f>'1461'!G113</f>
        <v>536</v>
      </c>
      <c r="I113" s="101">
        <f>ROUND(G113*E113,2)</f>
        <v>12060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8278272.9900000002</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7941455.7599999998</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7941455.7599999998</v>
      </c>
      <c r="I135" s="94">
        <f>ROUND(IF(E30=0,0,IF(E30&gt;250,-(((250/E30)*H135)*IF(G135="H",0.02,0.05)),IF(G135="H",-0.02*H135,-0.05*H135))),2)</f>
        <v>-40325.879999999997</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8237947.1100000003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-8242289.3499999987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-4342.2399999983609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-4342.24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118503.24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topLeftCell="A28" workbookViewId="0">
      <selection activeCell="F51" sqref="F5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285" t="s">
        <v>126</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J10" s="253"/>
      <c r="K10" s="65"/>
      <c r="L10" s="65"/>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J11" s="255"/>
      <c r="K11" s="254"/>
      <c r="L11" s="254"/>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J12" s="253"/>
      <c r="K12" s="254"/>
      <c r="L12" s="254"/>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K13" s="254"/>
      <c r="L13" s="254"/>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224.3</v>
      </c>
      <c r="D16" s="143">
        <v>223.5</v>
      </c>
      <c r="E16" s="116">
        <f t="shared" si="1"/>
        <v>447.8</v>
      </c>
      <c r="F16" s="679">
        <f>'1461'!F16:G16</f>
        <v>1</v>
      </c>
      <c r="G16" s="679"/>
      <c r="H16" s="80">
        <f t="shared" si="2"/>
        <v>447.8</v>
      </c>
      <c r="I16" s="101">
        <f t="shared" si="3"/>
        <v>2403300.54</v>
      </c>
      <c r="N16" s="621" t="s">
        <v>22</v>
      </c>
      <c r="O16" s="621"/>
      <c r="P16" s="662">
        <f t="shared" si="0"/>
        <v>0</v>
      </c>
      <c r="Q16" s="662"/>
      <c r="R16" s="667">
        <v>1</v>
      </c>
      <c r="S16" s="667"/>
      <c r="T16" s="95">
        <f t="shared" si="4"/>
        <v>0</v>
      </c>
      <c r="U16" s="486">
        <f t="shared" si="5"/>
        <v>0</v>
      </c>
    </row>
    <row r="17" spans="1:21" x14ac:dyDescent="0.25">
      <c r="A17" s="596" t="s">
        <v>23</v>
      </c>
      <c r="B17" s="596"/>
      <c r="C17" s="143">
        <v>34.5</v>
      </c>
      <c r="D17" s="143">
        <v>34.99</v>
      </c>
      <c r="E17" s="116">
        <f t="shared" si="1"/>
        <v>69.490000000000009</v>
      </c>
      <c r="F17" s="679">
        <f>'1461'!F17:G17</f>
        <v>1</v>
      </c>
      <c r="G17" s="679"/>
      <c r="H17" s="80">
        <f t="shared" si="2"/>
        <v>69.489999999999995</v>
      </c>
      <c r="I17" s="101">
        <f t="shared" si="3"/>
        <v>372946.3</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4.01</v>
      </c>
      <c r="D27" s="143">
        <v>2.91</v>
      </c>
      <c r="E27" s="116">
        <f t="shared" si="1"/>
        <v>6.92</v>
      </c>
      <c r="F27" s="679">
        <f>'1461'!F27:G27</f>
        <v>1.208</v>
      </c>
      <c r="G27" s="679"/>
      <c r="H27" s="80">
        <f t="shared" si="2"/>
        <v>8.3594000000000008</v>
      </c>
      <c r="I27" s="101">
        <f t="shared" si="3"/>
        <v>44864.11</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262.81</v>
      </c>
      <c r="D30" s="94">
        <f>SUM(D14:D29)</f>
        <v>261.40000000000003</v>
      </c>
      <c r="E30" s="94">
        <f>SUM(E14:E29)</f>
        <v>524.20999999999992</v>
      </c>
      <c r="F30" s="600"/>
      <c r="G30" s="600"/>
      <c r="H30" s="99">
        <f>SUM(H14:H29)</f>
        <v>525.64940000000001</v>
      </c>
      <c r="I30" s="94">
        <f>SUM(I14:I29)</f>
        <v>2821110.9499999997</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525.64940000000001</v>
      </c>
      <c r="F46" s="34"/>
      <c r="G46" s="106"/>
      <c r="H46" s="107" t="s">
        <v>98</v>
      </c>
      <c r="I46" s="94">
        <f>SUM(I44,I30)</f>
        <v>2821110.9499999997</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2872997.12</v>
      </c>
      <c r="G51" s="109" t="s">
        <v>6</v>
      </c>
      <c r="H51" s="415">
        <v>4.5199999999999997E-2</v>
      </c>
      <c r="I51" s="101">
        <f>ROUND(F51*H51,2)</f>
        <v>129859.47</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2872997.12</v>
      </c>
      <c r="G52" s="109" t="s">
        <v>6</v>
      </c>
      <c r="H52" s="415">
        <v>1.41E-2</v>
      </c>
      <c r="I52" s="101">
        <f>ROUND(F52*H52,2)</f>
        <v>40509.26</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170368.73</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34</v>
      </c>
      <c r="D60" s="143">
        <v>34.49</v>
      </c>
      <c r="E60" s="116">
        <f t="shared" si="10"/>
        <v>68.490000000000009</v>
      </c>
      <c r="F60" s="457" t="s">
        <v>13</v>
      </c>
      <c r="G60" s="456">
        <v>251</v>
      </c>
      <c r="H60" s="470">
        <f>'1461'!H60</f>
        <v>1173</v>
      </c>
      <c r="I60" s="101">
        <f t="shared" si="11"/>
        <v>80338.77</v>
      </c>
      <c r="N60" s="639"/>
      <c r="O60" s="639"/>
      <c r="P60" s="642"/>
      <c r="Q60" s="642"/>
      <c r="R60" s="40" t="s">
        <v>13</v>
      </c>
      <c r="S60" s="462">
        <v>251</v>
      </c>
      <c r="T60" s="473">
        <f t="shared" si="12"/>
        <v>1173</v>
      </c>
      <c r="U60" s="487">
        <f t="shared" si="13"/>
        <v>0</v>
      </c>
      <c r="V60" s="438"/>
    </row>
    <row r="61" spans="1:22" x14ac:dyDescent="0.25">
      <c r="A61" s="607"/>
      <c r="B61" s="607"/>
      <c r="C61" s="143">
        <v>0.5</v>
      </c>
      <c r="D61" s="143">
        <v>0.5</v>
      </c>
      <c r="E61" s="116">
        <f t="shared" si="10"/>
        <v>1</v>
      </c>
      <c r="F61" s="457" t="s">
        <v>13</v>
      </c>
      <c r="G61" s="456">
        <v>252</v>
      </c>
      <c r="H61" s="470">
        <f>'1461'!H61</f>
        <v>3506</v>
      </c>
      <c r="I61" s="101">
        <f t="shared" si="11"/>
        <v>3506</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34.5</v>
      </c>
      <c r="D66" s="97">
        <f>SUM(D57:D65)</f>
        <v>34.99</v>
      </c>
      <c r="E66" s="97">
        <f>SUM(E57:E65)</f>
        <v>69.490000000000009</v>
      </c>
      <c r="F66" s="608" t="s">
        <v>471</v>
      </c>
      <c r="G66" s="608"/>
      <c r="H66" s="608"/>
      <c r="I66" s="97">
        <f>SUM(I57:I65)</f>
        <v>83844.77</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524.20999999999992</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2.5860000000000002E-3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525.64940000000001</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2.3050000000000002E-3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524.20999999999992</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2.8080000000000002E-3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524.20999999999992</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2.591E-3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524.20999999999992</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2.813E-3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2.591E-3</v>
      </c>
      <c r="I85" s="101">
        <f>ROUND(F85*H85,2)</f>
        <v>115306.36</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2.5860000000000002E-3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2.813E-3</v>
      </c>
      <c r="I90" s="101">
        <f>ROUND(F90*H90,2)</f>
        <v>45877.69</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2.8080000000000002E-3</v>
      </c>
      <c r="I92" s="101">
        <f t="shared" ref="I92:I96" si="14">ROUND(F92*H92,2)</f>
        <v>28497.42</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2.3050000000000002E-3</v>
      </c>
      <c r="I94" s="101">
        <f t="shared" si="14"/>
        <v>550889.64</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2.3050000000000002E-3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2.5860000000000002E-3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525.64940000000001</v>
      </c>
      <c r="D105" s="614"/>
      <c r="E105" s="46">
        <f>H8</f>
        <v>1.0442</v>
      </c>
      <c r="F105" s="302">
        <f>'1461'!F105</f>
        <v>904.74</v>
      </c>
      <c r="G105" s="39" t="s">
        <v>12</v>
      </c>
      <c r="H105" s="101">
        <f>ROUND(C105*E105*F105,2)</f>
        <v>496596.5</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525.64940000000001</v>
      </c>
      <c r="D107" s="604"/>
      <c r="E107" s="123"/>
      <c r="F107" s="123"/>
      <c r="G107" s="123"/>
      <c r="H107" s="124" t="s">
        <v>100</v>
      </c>
      <c r="I107" s="101">
        <f>IF(A1=75,0,H106+H105+H104)</f>
        <v>496596.5</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345</v>
      </c>
      <c r="D113" s="143">
        <v>343</v>
      </c>
      <c r="E113" s="116">
        <f>(C113+D113)/2</f>
        <v>344</v>
      </c>
      <c r="F113" s="126" t="s">
        <v>30</v>
      </c>
      <c r="G113" s="303">
        <f>'1461'!G113</f>
        <v>536</v>
      </c>
      <c r="I113" s="101">
        <f>ROUND(G113*E113,2)</f>
        <v>184384</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4326507.33</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4156138.6</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4156138.6</v>
      </c>
      <c r="I135" s="94">
        <f>ROUND(IF(E30=0,0,IF(E30&gt;250,-(((250/E30)*H135)*IF(G135="H",0.02,0.05)),IF(G135="H",-0.02*H135,-0.05*H135))),2)</f>
        <v>-99104.81</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4227402.5200000005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Payments'!Q99</f>
        <v>-4233950.9899999993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-6548.4699999988079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241</v>
      </c>
      <c r="B145" s="69"/>
      <c r="C145" s="69"/>
      <c r="D145" s="69"/>
      <c r="E145" s="69"/>
      <c r="F145" s="69"/>
      <c r="G145" s="69"/>
      <c r="H145" s="65"/>
      <c r="I145" s="155">
        <f>ROUND(I141/I143,2)</f>
        <v>-6548.47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108702.12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385</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113.01</v>
      </c>
      <c r="D16" s="143">
        <v>111.44</v>
      </c>
      <c r="E16" s="116">
        <f t="shared" si="1"/>
        <v>224.45</v>
      </c>
      <c r="F16" s="679">
        <f>'1461'!F16:G16</f>
        <v>1</v>
      </c>
      <c r="G16" s="679"/>
      <c r="H16" s="80">
        <f t="shared" si="2"/>
        <v>224.45</v>
      </c>
      <c r="I16" s="101">
        <f t="shared" si="3"/>
        <v>1204602.07</v>
      </c>
      <c r="N16" s="621" t="s">
        <v>22</v>
      </c>
      <c r="O16" s="621"/>
      <c r="P16" s="662">
        <f t="shared" si="0"/>
        <v>0</v>
      </c>
      <c r="Q16" s="662"/>
      <c r="R16" s="667">
        <v>1</v>
      </c>
      <c r="S16" s="667"/>
      <c r="T16" s="95">
        <f t="shared" si="4"/>
        <v>0</v>
      </c>
      <c r="U16" s="486">
        <f t="shared" si="5"/>
        <v>0</v>
      </c>
    </row>
    <row r="17" spans="1:21" x14ac:dyDescent="0.25">
      <c r="A17" s="596" t="s">
        <v>23</v>
      </c>
      <c r="B17" s="596"/>
      <c r="C17" s="143">
        <v>23</v>
      </c>
      <c r="D17" s="143">
        <v>24.48</v>
      </c>
      <c r="E17" s="116">
        <f t="shared" si="1"/>
        <v>47.480000000000004</v>
      </c>
      <c r="F17" s="679">
        <f>'1461'!F17:G17</f>
        <v>1</v>
      </c>
      <c r="G17" s="679"/>
      <c r="H17" s="80">
        <f t="shared" si="2"/>
        <v>47.48</v>
      </c>
      <c r="I17" s="101">
        <f t="shared" si="3"/>
        <v>254820.7</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60.93</v>
      </c>
      <c r="D18" s="143">
        <v>57.71</v>
      </c>
      <c r="E18" s="116">
        <f t="shared" si="1"/>
        <v>118.64</v>
      </c>
      <c r="F18" s="679">
        <f>'1461'!F18:G18</f>
        <v>0.98799999999999999</v>
      </c>
      <c r="G18" s="679"/>
      <c r="H18" s="80">
        <f t="shared" si="2"/>
        <v>117.2163</v>
      </c>
      <c r="I18" s="101">
        <f t="shared" si="3"/>
        <v>629088.87</v>
      </c>
      <c r="N18" s="621" t="s">
        <v>24</v>
      </c>
      <c r="O18" s="621"/>
      <c r="P18" s="662">
        <f t="shared" si="0"/>
        <v>0</v>
      </c>
      <c r="Q18" s="662"/>
      <c r="R18" s="667">
        <v>1</v>
      </c>
      <c r="S18" s="667"/>
      <c r="T18" s="95">
        <f t="shared" si="4"/>
        <v>0</v>
      </c>
      <c r="U18" s="486">
        <f t="shared" si="5"/>
        <v>0</v>
      </c>
    </row>
    <row r="19" spans="1:21" x14ac:dyDescent="0.25">
      <c r="A19" s="596" t="s">
        <v>25</v>
      </c>
      <c r="B19" s="596"/>
      <c r="C19" s="143">
        <v>11.3</v>
      </c>
      <c r="D19" s="143">
        <v>10.9</v>
      </c>
      <c r="E19" s="116">
        <f t="shared" si="1"/>
        <v>22.200000000000003</v>
      </c>
      <c r="F19" s="679">
        <f>'1461'!F19:G19</f>
        <v>0.98799999999999999</v>
      </c>
      <c r="G19" s="679"/>
      <c r="H19" s="80">
        <f t="shared" si="2"/>
        <v>21.933599999999998</v>
      </c>
      <c r="I19" s="101">
        <f t="shared" si="3"/>
        <v>117715.57</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19.579999999999998</v>
      </c>
      <c r="D27" s="143">
        <v>20.57</v>
      </c>
      <c r="E27" s="116">
        <f t="shared" si="1"/>
        <v>40.15</v>
      </c>
      <c r="F27" s="679">
        <f>'1461'!F27:G27</f>
        <v>1.208</v>
      </c>
      <c r="G27" s="679"/>
      <c r="H27" s="80">
        <f t="shared" si="2"/>
        <v>48.501199999999997</v>
      </c>
      <c r="I27" s="101">
        <f t="shared" si="3"/>
        <v>260301.38</v>
      </c>
      <c r="N27" s="621" t="s">
        <v>86</v>
      </c>
      <c r="O27" s="621"/>
      <c r="P27" s="662">
        <f t="shared" si="0"/>
        <v>0</v>
      </c>
      <c r="Q27" s="662"/>
      <c r="R27" s="667">
        <v>1</v>
      </c>
      <c r="S27" s="667"/>
      <c r="T27" s="95">
        <f t="shared" si="4"/>
        <v>0</v>
      </c>
      <c r="U27" s="486">
        <f t="shared" si="5"/>
        <v>0</v>
      </c>
    </row>
    <row r="28" spans="1:21" x14ac:dyDescent="0.25">
      <c r="A28" s="596" t="s">
        <v>87</v>
      </c>
      <c r="B28" s="596"/>
      <c r="C28" s="143">
        <v>4.51</v>
      </c>
      <c r="D28" s="143">
        <v>4.6100000000000003</v>
      </c>
      <c r="E28" s="116">
        <f t="shared" si="1"/>
        <v>9.120000000000001</v>
      </c>
      <c r="F28" s="679">
        <f>'1461'!F28:G28</f>
        <v>1.208</v>
      </c>
      <c r="G28" s="679"/>
      <c r="H28" s="80">
        <f t="shared" si="2"/>
        <v>11.016999999999999</v>
      </c>
      <c r="I28" s="101">
        <f t="shared" si="3"/>
        <v>59127.199999999997</v>
      </c>
      <c r="N28" s="621" t="s">
        <v>87</v>
      </c>
      <c r="O28" s="621"/>
      <c r="P28" s="662">
        <f t="shared" si="0"/>
        <v>0</v>
      </c>
      <c r="Q28" s="662"/>
      <c r="R28" s="667">
        <v>1</v>
      </c>
      <c r="S28" s="667"/>
      <c r="T28" s="95">
        <f t="shared" si="4"/>
        <v>0</v>
      </c>
      <c r="U28" s="486">
        <f t="shared" si="5"/>
        <v>0</v>
      </c>
    </row>
    <row r="29" spans="1:21" x14ac:dyDescent="0.25">
      <c r="A29" s="596" t="s">
        <v>88</v>
      </c>
      <c r="B29" s="596"/>
      <c r="C29" s="110">
        <v>1.01</v>
      </c>
      <c r="D29" s="110">
        <v>0.93</v>
      </c>
      <c r="E29" s="154">
        <f t="shared" si="1"/>
        <v>1.94</v>
      </c>
      <c r="F29" s="679">
        <f>'1461'!F29:G29</f>
        <v>1.0720000000000001</v>
      </c>
      <c r="G29" s="679"/>
      <c r="H29" s="93">
        <f t="shared" si="2"/>
        <v>2.0796999999999999</v>
      </c>
      <c r="I29" s="94">
        <f t="shared" si="3"/>
        <v>11161.55</v>
      </c>
      <c r="N29" s="636" t="s">
        <v>88</v>
      </c>
      <c r="O29" s="636"/>
      <c r="P29" s="662">
        <f t="shared" si="0"/>
        <v>0</v>
      </c>
      <c r="Q29" s="662"/>
      <c r="R29" s="663">
        <v>1</v>
      </c>
      <c r="S29" s="663"/>
      <c r="T29" s="95">
        <f t="shared" si="4"/>
        <v>0</v>
      </c>
      <c r="U29" s="486">
        <f t="shared" si="5"/>
        <v>0</v>
      </c>
    </row>
    <row r="30" spans="1:21" x14ac:dyDescent="0.25">
      <c r="A30" s="608" t="s">
        <v>5</v>
      </c>
      <c r="B30" s="608"/>
      <c r="C30" s="94">
        <f>SUM(C14:C29)</f>
        <v>233.33999999999997</v>
      </c>
      <c r="D30" s="94">
        <f>SUM(D14:D29)</f>
        <v>230.64000000000001</v>
      </c>
      <c r="E30" s="94">
        <f>SUM(E14:E29)</f>
        <v>463.97999999999996</v>
      </c>
      <c r="F30" s="600"/>
      <c r="G30" s="600"/>
      <c r="H30" s="99">
        <f>SUM(H14:H29)</f>
        <v>472.67779999999999</v>
      </c>
      <c r="I30" s="94">
        <f>SUM(I14:I29)</f>
        <v>2536817.34</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472.67779999999999</v>
      </c>
      <c r="F46" s="34"/>
      <c r="G46" s="106"/>
      <c r="H46" s="107" t="s">
        <v>98</v>
      </c>
      <c r="I46" s="94">
        <f>SUM(I44,I30)</f>
        <v>2536817.34</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2765705.16</v>
      </c>
      <c r="G51" s="109" t="s">
        <v>6</v>
      </c>
      <c r="H51" s="415">
        <v>4.5199999999999997E-2</v>
      </c>
      <c r="I51" s="101">
        <f>ROUND(F51*H51,2)</f>
        <v>125009.87</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2765705.16</v>
      </c>
      <c r="G52" s="109" t="s">
        <v>6</v>
      </c>
      <c r="H52" s="415">
        <v>1.41E-2</v>
      </c>
      <c r="I52" s="101">
        <f>ROUND(F52*H52,2)</f>
        <v>38996.44</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164006.31</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21.5</v>
      </c>
      <c r="D60" s="143">
        <v>23.07</v>
      </c>
      <c r="E60" s="116">
        <f t="shared" si="10"/>
        <v>44.57</v>
      </c>
      <c r="F60" s="457" t="s">
        <v>13</v>
      </c>
      <c r="G60" s="456">
        <v>251</v>
      </c>
      <c r="H60" s="470">
        <f>'1461'!H60</f>
        <v>1173</v>
      </c>
      <c r="I60" s="101">
        <f t="shared" si="11"/>
        <v>52280.61</v>
      </c>
      <c r="N60" s="639"/>
      <c r="O60" s="639"/>
      <c r="P60" s="642"/>
      <c r="Q60" s="642"/>
      <c r="R60" s="40" t="s">
        <v>13</v>
      </c>
      <c r="S60" s="462">
        <v>251</v>
      </c>
      <c r="T60" s="473">
        <f t="shared" si="12"/>
        <v>1173</v>
      </c>
      <c r="U60" s="487">
        <f t="shared" si="13"/>
        <v>0</v>
      </c>
      <c r="V60" s="438"/>
    </row>
    <row r="61" spans="1:22" x14ac:dyDescent="0.25">
      <c r="A61" s="607"/>
      <c r="B61" s="607"/>
      <c r="C61" s="143">
        <v>1.5</v>
      </c>
      <c r="D61" s="143">
        <v>1.41</v>
      </c>
      <c r="E61" s="116">
        <f t="shared" si="10"/>
        <v>2.91</v>
      </c>
      <c r="F61" s="457" t="s">
        <v>13</v>
      </c>
      <c r="G61" s="456">
        <v>252</v>
      </c>
      <c r="H61" s="470">
        <f>'1461'!H61</f>
        <v>3506</v>
      </c>
      <c r="I61" s="101">
        <f t="shared" si="11"/>
        <v>10202.459999999999</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10.29</v>
      </c>
      <c r="D63" s="143">
        <v>9.98</v>
      </c>
      <c r="E63" s="116">
        <f t="shared" si="10"/>
        <v>20.27</v>
      </c>
      <c r="F63" s="457" t="s">
        <v>14</v>
      </c>
      <c r="G63" s="456">
        <v>251</v>
      </c>
      <c r="H63" s="470">
        <f>'1461'!H63</f>
        <v>835</v>
      </c>
      <c r="I63" s="101">
        <f t="shared" si="11"/>
        <v>16925.45</v>
      </c>
      <c r="N63" s="639"/>
      <c r="O63" s="639"/>
      <c r="P63" s="642"/>
      <c r="Q63" s="642"/>
      <c r="R63" s="40" t="s">
        <v>14</v>
      </c>
      <c r="S63" s="462">
        <v>251</v>
      </c>
      <c r="T63" s="473">
        <f t="shared" si="12"/>
        <v>835</v>
      </c>
      <c r="U63" s="487">
        <f t="shared" si="13"/>
        <v>0</v>
      </c>
      <c r="V63" s="438"/>
    </row>
    <row r="64" spans="1:22" x14ac:dyDescent="0.25">
      <c r="A64" s="607"/>
      <c r="B64" s="607"/>
      <c r="C64" s="143">
        <v>1.01</v>
      </c>
      <c r="D64" s="143">
        <v>0.92</v>
      </c>
      <c r="E64" s="116">
        <f t="shared" si="10"/>
        <v>1.9300000000000002</v>
      </c>
      <c r="F64" s="457" t="s">
        <v>14</v>
      </c>
      <c r="G64" s="456">
        <v>252</v>
      </c>
      <c r="H64" s="470">
        <f>'1461'!H64</f>
        <v>3168</v>
      </c>
      <c r="I64" s="101">
        <f t="shared" si="11"/>
        <v>6114.24</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34.299999999999997</v>
      </c>
      <c r="D66" s="97">
        <f>SUM(D57:D65)</f>
        <v>35.380000000000003</v>
      </c>
      <c r="E66" s="97">
        <f>SUM(E57:E65)</f>
        <v>69.680000000000007</v>
      </c>
      <c r="F66" s="608" t="s">
        <v>471</v>
      </c>
      <c r="G66" s="608"/>
      <c r="H66" s="608"/>
      <c r="I66" s="97">
        <f>SUM(I57:I65)</f>
        <v>85522.760000000009</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463.97999999999996</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2.2889999999999998E-3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472.67779999999999</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2.0730000000000002E-3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463.97999999999996</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2.4849999999999998E-3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463.97999999999996</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2.2929999999999999E-3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463.97999999999996</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2.49E-3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2.2929999999999999E-3</v>
      </c>
      <c r="I85" s="101">
        <f>ROUND(F85*H85,2)</f>
        <v>102044.57</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2.2889999999999998E-3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2.49E-3</v>
      </c>
      <c r="I90" s="101">
        <f>ROUND(F90*H90,2)</f>
        <v>40609.83</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2.4849999999999998E-3</v>
      </c>
      <c r="I92" s="101">
        <f t="shared" ref="I92:I96" si="14">ROUND(F92*H92,2)</f>
        <v>25219.41</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2.0730000000000002E-3</v>
      </c>
      <c r="I94" s="101">
        <f t="shared" si="14"/>
        <v>495442.18</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2.0730000000000002E-3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2.2889999999999998E-3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320.43119999999999</v>
      </c>
      <c r="D105" s="614"/>
      <c r="E105" s="46">
        <f>H8</f>
        <v>1.0442</v>
      </c>
      <c r="F105" s="302">
        <f>'1461'!F105</f>
        <v>904.74</v>
      </c>
      <c r="G105" s="39" t="s">
        <v>12</v>
      </c>
      <c r="H105" s="101">
        <f>ROUND(C105*E105*F105,2)</f>
        <v>302720.81</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152.2466</v>
      </c>
      <c r="D106" s="614"/>
      <c r="E106" s="46">
        <f>H8</f>
        <v>1.0442</v>
      </c>
      <c r="F106" s="302">
        <f>'1461'!F106</f>
        <v>906.93</v>
      </c>
      <c r="G106" s="39" t="s">
        <v>12</v>
      </c>
      <c r="H106" s="94">
        <f>ROUND(C106*E106*F106,2)</f>
        <v>144180.01</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472.67779999999999</v>
      </c>
      <c r="D107" s="604"/>
      <c r="E107" s="123"/>
      <c r="F107" s="123"/>
      <c r="G107" s="123"/>
      <c r="H107" s="124" t="s">
        <v>100</v>
      </c>
      <c r="I107" s="101">
        <f>IF(A1=75,0,H106+H105+H104)</f>
        <v>446900.82</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258</v>
      </c>
      <c r="D113" s="143">
        <v>243</v>
      </c>
      <c r="E113" s="116">
        <f>(C113+D113)/2</f>
        <v>250.5</v>
      </c>
      <c r="F113" s="126" t="s">
        <v>30</v>
      </c>
      <c r="G113" s="303">
        <f>'1461'!G113</f>
        <v>536</v>
      </c>
      <c r="I113" s="101">
        <f>ROUND(G113*E113,2)</f>
        <v>134268</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3866824.9099999997</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3702818.5999999996</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3702818.5999999996</v>
      </c>
      <c r="I135" s="94">
        <f>ROUND(IF(E30=0,0,IF(E30&gt;250,-(((250/E30)*H135)*IF(G135="H",0.02,0.05)),IF(G135="H",-0.02*H135,-0.05*H135))),2)</f>
        <v>-99756.96</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3767067.9499999997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-3769108.1200000006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-2040.1700000008568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-2040.17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85383.97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v>637300</v>
      </c>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71" t="s">
        <v>331</v>
      </c>
      <c r="C3" s="572"/>
      <c r="D3" s="205"/>
      <c r="E3" s="571" t="s">
        <v>187</v>
      </c>
      <c r="F3" s="572"/>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282</v>
      </c>
      <c r="F7" s="211" t="s">
        <v>283</v>
      </c>
    </row>
    <row r="8" spans="1:6" x14ac:dyDescent="0.2">
      <c r="A8" s="216">
        <v>4</v>
      </c>
      <c r="B8" s="210" t="s">
        <v>162</v>
      </c>
      <c r="C8" s="211" t="s">
        <v>195</v>
      </c>
      <c r="D8" s="205"/>
      <c r="E8" s="210" t="s">
        <v>269</v>
      </c>
      <c r="F8" s="211" t="s">
        <v>268</v>
      </c>
    </row>
    <row r="9" spans="1:6" x14ac:dyDescent="0.2">
      <c r="A9" s="216">
        <v>5</v>
      </c>
      <c r="B9" s="210" t="s">
        <v>163</v>
      </c>
      <c r="C9" s="211" t="s">
        <v>256</v>
      </c>
      <c r="D9" s="205"/>
      <c r="E9" s="210" t="s">
        <v>161</v>
      </c>
      <c r="F9" s="212" t="s">
        <v>194</v>
      </c>
    </row>
    <row r="10" spans="1:6" x14ac:dyDescent="0.2">
      <c r="A10" s="216">
        <v>6</v>
      </c>
      <c r="B10" s="210" t="s">
        <v>164</v>
      </c>
      <c r="C10" s="211" t="s">
        <v>379</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347</v>
      </c>
    </row>
    <row r="13" spans="1:6" x14ac:dyDescent="0.2">
      <c r="A13" s="216">
        <v>9</v>
      </c>
      <c r="B13" s="210" t="s">
        <v>167</v>
      </c>
      <c r="C13" s="211" t="s">
        <v>336</v>
      </c>
      <c r="D13" s="205"/>
      <c r="E13" s="210" t="s">
        <v>200</v>
      </c>
      <c r="F13" s="211" t="s">
        <v>349</v>
      </c>
    </row>
    <row r="14" spans="1:6" x14ac:dyDescent="0.2">
      <c r="A14" s="216">
        <v>10</v>
      </c>
      <c r="B14" s="210" t="s">
        <v>168</v>
      </c>
      <c r="C14" s="213" t="s">
        <v>387</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387</v>
      </c>
    </row>
    <row r="18" spans="1:9" x14ac:dyDescent="0.2">
      <c r="A18" s="216">
        <v>14</v>
      </c>
      <c r="B18" s="210" t="s">
        <v>172</v>
      </c>
      <c r="C18" s="212" t="s">
        <v>206</v>
      </c>
      <c r="D18" s="205"/>
      <c r="E18" s="210" t="s">
        <v>169</v>
      </c>
      <c r="F18" s="212" t="s">
        <v>201</v>
      </c>
    </row>
    <row r="19" spans="1:9" x14ac:dyDescent="0.2">
      <c r="A19" s="216">
        <v>15</v>
      </c>
      <c r="B19" s="210" t="s">
        <v>173</v>
      </c>
      <c r="C19" s="211" t="s">
        <v>287</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338</v>
      </c>
      <c r="F21" s="215" t="s">
        <v>335</v>
      </c>
    </row>
    <row r="22" spans="1:9" x14ac:dyDescent="0.2">
      <c r="A22" s="216">
        <v>18</v>
      </c>
      <c r="B22" s="210" t="s">
        <v>176</v>
      </c>
      <c r="C22" s="211" t="s">
        <v>190</v>
      </c>
      <c r="D22" s="205"/>
      <c r="E22" s="210" t="s">
        <v>164</v>
      </c>
      <c r="F22" s="211" t="s">
        <v>379</v>
      </c>
    </row>
    <row r="23" spans="1:9" x14ac:dyDescent="0.2">
      <c r="A23" s="216">
        <v>19</v>
      </c>
      <c r="B23" s="210" t="s">
        <v>177</v>
      </c>
      <c r="C23" s="212" t="s">
        <v>207</v>
      </c>
      <c r="D23" s="205"/>
      <c r="E23" s="210" t="s">
        <v>210</v>
      </c>
      <c r="F23" s="215" t="s">
        <v>378</v>
      </c>
    </row>
    <row r="24" spans="1:9" x14ac:dyDescent="0.2">
      <c r="A24" s="216">
        <v>20</v>
      </c>
      <c r="B24" s="210" t="s">
        <v>178</v>
      </c>
      <c r="C24" s="211" t="s">
        <v>208</v>
      </c>
      <c r="D24" s="205"/>
      <c r="E24" s="210" t="s">
        <v>183</v>
      </c>
      <c r="F24" s="212" t="s">
        <v>340</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378</v>
      </c>
      <c r="D28" s="205"/>
      <c r="E28" s="210" t="s">
        <v>214</v>
      </c>
      <c r="F28" s="211" t="s">
        <v>215</v>
      </c>
    </row>
    <row r="29" spans="1:9" x14ac:dyDescent="0.2">
      <c r="A29" s="216">
        <v>25</v>
      </c>
      <c r="B29" s="210" t="s">
        <v>181</v>
      </c>
      <c r="C29" s="211" t="s">
        <v>192</v>
      </c>
      <c r="D29" s="205"/>
      <c r="E29" s="210" t="s">
        <v>216</v>
      </c>
      <c r="F29" s="211" t="s">
        <v>217</v>
      </c>
      <c r="I29" s="295"/>
    </row>
    <row r="30" spans="1:9" x14ac:dyDescent="0.2">
      <c r="A30" s="216">
        <v>26</v>
      </c>
      <c r="B30" s="210" t="s">
        <v>182</v>
      </c>
      <c r="C30" s="212" t="s">
        <v>202</v>
      </c>
      <c r="D30" s="205"/>
      <c r="E30" s="210" t="s">
        <v>218</v>
      </c>
      <c r="F30" s="211" t="s">
        <v>219</v>
      </c>
      <c r="I30" s="295"/>
    </row>
    <row r="31" spans="1:9" x14ac:dyDescent="0.2">
      <c r="A31" s="216">
        <v>27</v>
      </c>
      <c r="B31" s="210" t="s">
        <v>183</v>
      </c>
      <c r="C31" s="212" t="s">
        <v>340</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342</v>
      </c>
    </row>
    <row r="35" spans="1:6" x14ac:dyDescent="0.2">
      <c r="A35" s="216">
        <v>31</v>
      </c>
      <c r="B35" s="210" t="s">
        <v>223</v>
      </c>
      <c r="C35" s="212" t="s">
        <v>224</v>
      </c>
      <c r="D35" s="205"/>
      <c r="E35" s="210" t="s">
        <v>178</v>
      </c>
      <c r="F35" s="211" t="s">
        <v>208</v>
      </c>
    </row>
    <row r="36" spans="1:6" x14ac:dyDescent="0.2">
      <c r="A36" s="216">
        <v>32</v>
      </c>
      <c r="B36" s="210" t="s">
        <v>199</v>
      </c>
      <c r="C36" s="211" t="s">
        <v>347</v>
      </c>
      <c r="D36" s="205"/>
      <c r="E36" s="210" t="s">
        <v>225</v>
      </c>
      <c r="F36" s="211" t="s">
        <v>226</v>
      </c>
    </row>
    <row r="37" spans="1:6" x14ac:dyDescent="0.2">
      <c r="A37" s="216">
        <v>33</v>
      </c>
      <c r="B37" s="210" t="s">
        <v>338</v>
      </c>
      <c r="C37" s="212" t="s">
        <v>335</v>
      </c>
      <c r="D37" s="205"/>
      <c r="E37" s="210" t="s">
        <v>223</v>
      </c>
      <c r="F37" s="212" t="s">
        <v>224</v>
      </c>
    </row>
    <row r="38" spans="1:6" x14ac:dyDescent="0.2">
      <c r="A38" s="216">
        <v>34</v>
      </c>
      <c r="B38" s="210">
        <v>4031</v>
      </c>
      <c r="C38" s="211" t="s">
        <v>352</v>
      </c>
      <c r="D38" s="205"/>
      <c r="E38" s="210" t="s">
        <v>221</v>
      </c>
      <c r="F38" s="215" t="s">
        <v>222</v>
      </c>
    </row>
    <row r="39" spans="1:6" x14ac:dyDescent="0.2">
      <c r="A39" s="216">
        <v>35</v>
      </c>
      <c r="B39" s="210" t="s">
        <v>225</v>
      </c>
      <c r="C39" s="211" t="s">
        <v>226</v>
      </c>
      <c r="D39" s="205"/>
      <c r="E39" s="210" t="s">
        <v>173</v>
      </c>
      <c r="F39" s="212" t="s">
        <v>287</v>
      </c>
    </row>
    <row r="40" spans="1:6" x14ac:dyDescent="0.2">
      <c r="A40" s="216">
        <v>36</v>
      </c>
      <c r="B40" s="210" t="s">
        <v>216</v>
      </c>
      <c r="C40" s="211" t="s">
        <v>217</v>
      </c>
      <c r="D40" s="205"/>
      <c r="E40" s="210">
        <v>4091</v>
      </c>
      <c r="F40" s="212" t="s">
        <v>276</v>
      </c>
    </row>
    <row r="41" spans="1:6" x14ac:dyDescent="0.2">
      <c r="A41" s="216">
        <v>37</v>
      </c>
      <c r="B41" s="210" t="s">
        <v>214</v>
      </c>
      <c r="C41" s="211" t="s">
        <v>215</v>
      </c>
      <c r="D41" s="205"/>
      <c r="E41" s="210">
        <v>4031</v>
      </c>
      <c r="F41" s="211" t="s">
        <v>352</v>
      </c>
    </row>
    <row r="42" spans="1:6" x14ac:dyDescent="0.2">
      <c r="A42" s="216">
        <v>38</v>
      </c>
      <c r="B42" s="210" t="s">
        <v>200</v>
      </c>
      <c r="C42" s="211" t="s">
        <v>349</v>
      </c>
      <c r="D42" s="205"/>
      <c r="E42" s="214" t="s">
        <v>375</v>
      </c>
      <c r="F42" s="211" t="s">
        <v>376</v>
      </c>
    </row>
    <row r="43" spans="1:6" x14ac:dyDescent="0.2">
      <c r="A43" s="216">
        <v>39</v>
      </c>
      <c r="B43" s="210" t="s">
        <v>239</v>
      </c>
      <c r="C43" s="211" t="s">
        <v>243</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277</v>
      </c>
      <c r="D45" s="205"/>
      <c r="E45" s="210">
        <v>4090</v>
      </c>
      <c r="F45" s="212" t="s">
        <v>277</v>
      </c>
    </row>
    <row r="46" spans="1:6" x14ac:dyDescent="0.2">
      <c r="A46" s="216">
        <v>42</v>
      </c>
      <c r="B46" s="243">
        <v>4091</v>
      </c>
      <c r="C46" s="188" t="s">
        <v>276</v>
      </c>
      <c r="D46" s="205"/>
      <c r="E46" s="210" t="s">
        <v>327</v>
      </c>
      <c r="F46" s="212" t="s">
        <v>328</v>
      </c>
    </row>
    <row r="47" spans="1:6" x14ac:dyDescent="0.2">
      <c r="A47" s="216">
        <v>43</v>
      </c>
      <c r="B47" s="210" t="s">
        <v>269</v>
      </c>
      <c r="C47" s="211" t="s">
        <v>268</v>
      </c>
      <c r="D47" s="205"/>
      <c r="E47" s="210" t="s">
        <v>167</v>
      </c>
      <c r="F47" s="211" t="s">
        <v>336</v>
      </c>
    </row>
    <row r="48" spans="1:6" x14ac:dyDescent="0.2">
      <c r="A48" s="216">
        <v>44</v>
      </c>
      <c r="B48" s="210" t="s">
        <v>282</v>
      </c>
      <c r="C48" s="211" t="s">
        <v>283</v>
      </c>
      <c r="D48" s="205"/>
      <c r="E48" s="210" t="s">
        <v>163</v>
      </c>
      <c r="F48" s="211" t="s">
        <v>256</v>
      </c>
    </row>
    <row r="49" spans="1:6" x14ac:dyDescent="0.2">
      <c r="A49" s="216">
        <v>45</v>
      </c>
      <c r="B49" s="210" t="s">
        <v>327</v>
      </c>
      <c r="C49" s="242" t="s">
        <v>328</v>
      </c>
      <c r="D49" s="205"/>
      <c r="E49" s="210" t="s">
        <v>239</v>
      </c>
      <c r="F49" s="211" t="s">
        <v>243</v>
      </c>
    </row>
    <row r="50" spans="1:6" x14ac:dyDescent="0.2">
      <c r="A50" s="216">
        <v>46</v>
      </c>
      <c r="B50" s="210">
        <v>4111</v>
      </c>
      <c r="C50" s="211" t="s">
        <v>342</v>
      </c>
      <c r="D50" s="205"/>
      <c r="E50" s="210" t="s">
        <v>165</v>
      </c>
      <c r="F50" s="212" t="s">
        <v>197</v>
      </c>
    </row>
    <row r="51" spans="1:6" x14ac:dyDescent="0.2">
      <c r="A51" s="216">
        <v>47</v>
      </c>
      <c r="B51" s="210" t="s">
        <v>375</v>
      </c>
      <c r="C51" s="211" t="s">
        <v>376</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topLeftCell="A24"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127</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63.2</v>
      </c>
      <c r="D14" s="141">
        <v>60.9</v>
      </c>
      <c r="E14" s="187">
        <f>IF(D$30=0,C14*2,C14+D14)</f>
        <v>124.1</v>
      </c>
      <c r="F14" s="687">
        <f>'1461'!F14:G14</f>
        <v>1.1220000000000001</v>
      </c>
      <c r="G14" s="687"/>
      <c r="H14" s="145">
        <f>ROUND(E14*F14,4)</f>
        <v>139.24019999999999</v>
      </c>
      <c r="I14" s="111">
        <f>ROUND(ROUND(ROUND(H14*$C$8,4)*($H$8),2)*(MAX($H$9,1)),2)</f>
        <v>747289.07</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15.06</v>
      </c>
      <c r="D15" s="143">
        <v>14.48</v>
      </c>
      <c r="E15" s="116">
        <f t="shared" ref="E15:E29" si="1">IF(D$30=0,C15*2,C15+D15)</f>
        <v>29.54</v>
      </c>
      <c r="F15" s="679">
        <f>'1461'!F15:G15</f>
        <v>1.1220000000000001</v>
      </c>
      <c r="G15" s="679"/>
      <c r="H15" s="80">
        <f t="shared" ref="H15:H29" si="2">ROUND(E15*F15,4)</f>
        <v>33.143900000000002</v>
      </c>
      <c r="I15" s="101">
        <f t="shared" ref="I15:I29" si="3">ROUND(ROUND(ROUND(H15*$C$8,4)*($H$8),2)*(MAX($H$9,1)),2)</f>
        <v>177880.2</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26.96</v>
      </c>
      <c r="D16" s="143">
        <v>26.04</v>
      </c>
      <c r="E16" s="116">
        <f t="shared" si="1"/>
        <v>53</v>
      </c>
      <c r="F16" s="679">
        <f>'1461'!F16:G16</f>
        <v>1</v>
      </c>
      <c r="G16" s="679"/>
      <c r="H16" s="80">
        <f t="shared" si="2"/>
        <v>53</v>
      </c>
      <c r="I16" s="101">
        <f t="shared" si="3"/>
        <v>284446.02</v>
      </c>
      <c r="N16" s="621" t="s">
        <v>22</v>
      </c>
      <c r="O16" s="621"/>
      <c r="P16" s="662">
        <f t="shared" si="0"/>
        <v>0</v>
      </c>
      <c r="Q16" s="662"/>
      <c r="R16" s="667">
        <v>1</v>
      </c>
      <c r="S16" s="667"/>
      <c r="T16" s="95">
        <f t="shared" si="4"/>
        <v>0</v>
      </c>
      <c r="U16" s="486">
        <f t="shared" si="5"/>
        <v>0</v>
      </c>
    </row>
    <row r="17" spans="1:21" x14ac:dyDescent="0.25">
      <c r="A17" s="596" t="s">
        <v>23</v>
      </c>
      <c r="B17" s="596"/>
      <c r="C17" s="143">
        <v>9.02</v>
      </c>
      <c r="D17" s="143">
        <v>8.5</v>
      </c>
      <c r="E17" s="116">
        <f t="shared" si="1"/>
        <v>17.52</v>
      </c>
      <c r="F17" s="679">
        <f>'1461'!F17:G17</f>
        <v>1</v>
      </c>
      <c r="G17" s="679"/>
      <c r="H17" s="80">
        <f t="shared" si="2"/>
        <v>17.52</v>
      </c>
      <c r="I17" s="101">
        <f t="shared" si="3"/>
        <v>94028.19</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10.37</v>
      </c>
      <c r="D26" s="143">
        <v>9.6</v>
      </c>
      <c r="E26" s="116">
        <f t="shared" si="1"/>
        <v>19.97</v>
      </c>
      <c r="F26" s="679">
        <f>'1461'!F26:G26</f>
        <v>1.208</v>
      </c>
      <c r="G26" s="679"/>
      <c r="H26" s="80">
        <f t="shared" si="2"/>
        <v>24.123799999999999</v>
      </c>
      <c r="I26" s="101">
        <f t="shared" si="3"/>
        <v>129470.17</v>
      </c>
      <c r="N26" s="621" t="s">
        <v>85</v>
      </c>
      <c r="O26" s="621"/>
      <c r="P26" s="662">
        <f t="shared" si="0"/>
        <v>0</v>
      </c>
      <c r="Q26" s="662"/>
      <c r="R26" s="667">
        <v>1</v>
      </c>
      <c r="S26" s="667"/>
      <c r="T26" s="95">
        <f t="shared" si="4"/>
        <v>0</v>
      </c>
      <c r="U26" s="486">
        <f t="shared" si="5"/>
        <v>0</v>
      </c>
    </row>
    <row r="27" spans="1:21" x14ac:dyDescent="0.25">
      <c r="A27" s="596" t="s">
        <v>86</v>
      </c>
      <c r="B27" s="596"/>
      <c r="C27" s="143">
        <v>3.08</v>
      </c>
      <c r="D27" s="143">
        <v>3.46</v>
      </c>
      <c r="E27" s="116">
        <f t="shared" si="1"/>
        <v>6.54</v>
      </c>
      <c r="F27" s="679">
        <f>'1461'!F27:G27</f>
        <v>1.208</v>
      </c>
      <c r="G27" s="679"/>
      <c r="H27" s="80">
        <f t="shared" si="2"/>
        <v>7.9002999999999997</v>
      </c>
      <c r="I27" s="101">
        <f t="shared" si="3"/>
        <v>42400.17</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127.69</v>
      </c>
      <c r="D30" s="94">
        <f>SUM(D14:D29)</f>
        <v>122.97999999999998</v>
      </c>
      <c r="E30" s="94">
        <f>SUM(E14:E29)</f>
        <v>250.67</v>
      </c>
      <c r="F30" s="600"/>
      <c r="G30" s="600"/>
      <c r="H30" s="99">
        <f>SUM(H14:H29)</f>
        <v>274.9282</v>
      </c>
      <c r="I30" s="94">
        <f>SUM(I14:I29)</f>
        <v>1475513.8199999998</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274.9282</v>
      </c>
      <c r="F46" s="34"/>
      <c r="G46" s="106"/>
      <c r="H46" s="107" t="s">
        <v>98</v>
      </c>
      <c r="I46" s="94">
        <f>SUM(I44,I30)</f>
        <v>1475513.8199999998</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1425319.84</v>
      </c>
      <c r="G51" s="109" t="s">
        <v>6</v>
      </c>
      <c r="H51" s="415">
        <v>4.5199999999999997E-2</v>
      </c>
      <c r="I51" s="101">
        <f>ROUND(F51*H51,2)</f>
        <v>64424.46</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1425319.84</v>
      </c>
      <c r="G52" s="109" t="s">
        <v>6</v>
      </c>
      <c r="H52" s="415">
        <v>1.41E-2</v>
      </c>
      <c r="I52" s="101">
        <f>ROUND(F52*H52,2)</f>
        <v>20097.009999999998</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84521.47</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11.55</v>
      </c>
      <c r="D57" s="143">
        <v>10.53</v>
      </c>
      <c r="E57" s="116">
        <f t="shared" ref="E57:E65" si="10">IF(D$66=0,C57*2,C57+D57)</f>
        <v>22.08</v>
      </c>
      <c r="F57" s="456" t="s">
        <v>462</v>
      </c>
      <c r="G57" s="456">
        <v>251</v>
      </c>
      <c r="H57" s="470">
        <f>'1461'!H57</f>
        <v>1047</v>
      </c>
      <c r="I57" s="101">
        <f>ROUND(E57*H57,2)</f>
        <v>23117.759999999998</v>
      </c>
      <c r="N57" s="638" t="s">
        <v>470</v>
      </c>
      <c r="O57" s="638"/>
      <c r="P57" s="641"/>
      <c r="Q57" s="641"/>
      <c r="R57" s="462" t="s">
        <v>462</v>
      </c>
      <c r="S57" s="462">
        <v>251</v>
      </c>
      <c r="T57" s="473">
        <f>H57</f>
        <v>1047</v>
      </c>
      <c r="U57" s="487">
        <f>ROUND(P57*T57,2)</f>
        <v>0</v>
      </c>
      <c r="V57" s="438"/>
    </row>
    <row r="58" spans="1:22" x14ac:dyDescent="0.25">
      <c r="A58" s="607"/>
      <c r="B58" s="607"/>
      <c r="C58" s="143">
        <v>3.51</v>
      </c>
      <c r="D58" s="143">
        <v>3.95</v>
      </c>
      <c r="E58" s="116">
        <f t="shared" si="10"/>
        <v>7.46</v>
      </c>
      <c r="F58" s="456" t="s">
        <v>462</v>
      </c>
      <c r="G58" s="456">
        <v>252</v>
      </c>
      <c r="H58" s="470">
        <f>'1461'!H58</f>
        <v>3380</v>
      </c>
      <c r="I58" s="101">
        <f t="shared" ref="I58:I65" si="11">ROUND(E58*H58,2)</f>
        <v>25214.799999999999</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7.52</v>
      </c>
      <c r="D60" s="143">
        <v>7</v>
      </c>
      <c r="E60" s="116">
        <f t="shared" si="10"/>
        <v>14.52</v>
      </c>
      <c r="F60" s="457" t="s">
        <v>13</v>
      </c>
      <c r="G60" s="456">
        <v>251</v>
      </c>
      <c r="H60" s="470">
        <f>'1461'!H60</f>
        <v>1173</v>
      </c>
      <c r="I60" s="101">
        <f t="shared" si="11"/>
        <v>17031.96</v>
      </c>
      <c r="N60" s="639"/>
      <c r="O60" s="639"/>
      <c r="P60" s="642"/>
      <c r="Q60" s="642"/>
      <c r="R60" s="40" t="s">
        <v>13</v>
      </c>
      <c r="S60" s="462">
        <v>251</v>
      </c>
      <c r="T60" s="473">
        <f t="shared" si="12"/>
        <v>1173</v>
      </c>
      <c r="U60" s="487">
        <f t="shared" si="13"/>
        <v>0</v>
      </c>
      <c r="V60" s="438"/>
    </row>
    <row r="61" spans="1:22" x14ac:dyDescent="0.25">
      <c r="A61" s="607"/>
      <c r="B61" s="607"/>
      <c r="C61" s="143">
        <v>1.5</v>
      </c>
      <c r="D61" s="143">
        <v>1.5</v>
      </c>
      <c r="E61" s="116">
        <f t="shared" si="10"/>
        <v>3</v>
      </c>
      <c r="F61" s="457" t="s">
        <v>13</v>
      </c>
      <c r="G61" s="456">
        <v>252</v>
      </c>
      <c r="H61" s="470">
        <f>'1461'!H61</f>
        <v>3506</v>
      </c>
      <c r="I61" s="101">
        <f t="shared" si="11"/>
        <v>10518</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24.08</v>
      </c>
      <c r="D66" s="97">
        <f>SUM(D57:D65)</f>
        <v>22.98</v>
      </c>
      <c r="E66" s="97">
        <f>SUM(E57:E65)</f>
        <v>47.06</v>
      </c>
      <c r="F66" s="608" t="s">
        <v>471</v>
      </c>
      <c r="G66" s="608"/>
      <c r="H66" s="608"/>
      <c r="I66" s="97">
        <f>SUM(I57:I65)</f>
        <v>75882.51999999999</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250.67</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1.237E-3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274.9282</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1.2049999999999999E-3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250.67</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1.343E-3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250.67</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1.2390000000000001E-3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250.67</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1.3450000000000001E-3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1.2390000000000001E-3</v>
      </c>
      <c r="I85" s="101">
        <f>ROUND(F85*H85,2)</f>
        <v>55138.78</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1.237E-3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1.3450000000000001E-3</v>
      </c>
      <c r="I90" s="101">
        <f>ROUND(F90*H90,2)</f>
        <v>21935.83</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1.343E-3</v>
      </c>
      <c r="I92" s="101">
        <f t="shared" ref="I92:I96" si="14">ROUND(F92*H92,2)</f>
        <v>13629.64</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1.2049999999999999E-3</v>
      </c>
      <c r="I94" s="101">
        <f t="shared" si="14"/>
        <v>287992.2</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1.2049999999999999E-3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1.237E-3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196.50789999999998</v>
      </c>
      <c r="D104" s="614"/>
      <c r="E104" s="46">
        <f>H8</f>
        <v>1.0442</v>
      </c>
      <c r="F104" s="302">
        <f>'1461'!F104</f>
        <v>947.59</v>
      </c>
      <c r="G104" s="39" t="s">
        <v>12</v>
      </c>
      <c r="H104" s="101">
        <f>ROUND(C104*E104*F104,2)</f>
        <v>194439.36</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78.420299999999997</v>
      </c>
      <c r="D105" s="614"/>
      <c r="E105" s="46">
        <f>H8</f>
        <v>1.0442</v>
      </c>
      <c r="F105" s="302">
        <f>'1461'!F105</f>
        <v>904.74</v>
      </c>
      <c r="G105" s="39" t="s">
        <v>12</v>
      </c>
      <c r="H105" s="101">
        <f>ROUND(C105*E105*F105,2)</f>
        <v>74085.97</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274.92819999999995</v>
      </c>
      <c r="D107" s="604"/>
      <c r="E107" s="123"/>
      <c r="F107" s="123"/>
      <c r="G107" s="123"/>
      <c r="H107" s="124" t="s">
        <v>100</v>
      </c>
      <c r="I107" s="101">
        <f>IF(A1=75,0,H106+H105+H104)</f>
        <v>268525.32999999996</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v>
      </c>
      <c r="D113" s="143">
        <v>0</v>
      </c>
      <c r="E113" s="116">
        <f>(C113+D113)/2</f>
        <v>1</v>
      </c>
      <c r="F113" s="126" t="s">
        <v>30</v>
      </c>
      <c r="G113" s="303">
        <f>'1461'!G113</f>
        <v>536</v>
      </c>
      <c r="I113" s="101">
        <f>ROUND(G113*E113,2)</f>
        <v>536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2199154.1199999996</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2114632.6499999994</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0" t="s">
        <v>240</v>
      </c>
      <c r="H135" s="139">
        <f>IF(H133=1,I133,I130)</f>
        <v>2114632.6499999994</v>
      </c>
      <c r="I135" s="94">
        <f>ROUND(IF(E30=0,0,IF(E30&gt;250,-(((250/E30)*H135)*IF(G135="H",0.02,0.05)),IF(G135="H",-0.02*H135,-0.05*H135))),2)</f>
        <v>-42179.61</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2156974.5099999998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-2156665.98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308.52999999979511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308.52999999999997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113.04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128</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54.37</v>
      </c>
      <c r="D14" s="141">
        <v>53.13</v>
      </c>
      <c r="E14" s="187">
        <f>IF(D$30=0,C14*2,C14+D14)</f>
        <v>107.5</v>
      </c>
      <c r="F14" s="687">
        <f>'1461'!F14:G14</f>
        <v>1.1220000000000001</v>
      </c>
      <c r="G14" s="687"/>
      <c r="H14" s="145">
        <f>ROUND(E14*F14,4)</f>
        <v>120.61499999999999</v>
      </c>
      <c r="I14" s="111">
        <f>ROUND(ROUND(ROUND(H14*$C$8,4)*($H$8),2)*(MAX($H$9,1)),2)</f>
        <v>647329.38</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5.5</v>
      </c>
      <c r="D15" s="143">
        <v>6.5</v>
      </c>
      <c r="E15" s="116">
        <f t="shared" ref="E15:E29" si="1">IF(D$30=0,C15*2,C15+D15)</f>
        <v>12</v>
      </c>
      <c r="F15" s="679">
        <f>'1461'!F15:G15</f>
        <v>1.1220000000000001</v>
      </c>
      <c r="G15" s="679"/>
      <c r="H15" s="80">
        <f t="shared" ref="H15:H29" si="2">ROUND(E15*F15,4)</f>
        <v>13.464</v>
      </c>
      <c r="I15" s="101">
        <f t="shared" ref="I15:I29" si="3">ROUND(ROUND(ROUND(H15*$C$8,4)*($H$8),2)*(MAX($H$9,1)),2)</f>
        <v>72260.02</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84.28</v>
      </c>
      <c r="D16" s="143">
        <v>84.87</v>
      </c>
      <c r="E16" s="116">
        <f t="shared" si="1"/>
        <v>169.15</v>
      </c>
      <c r="F16" s="679">
        <f>'1461'!F16:G16</f>
        <v>1</v>
      </c>
      <c r="G16" s="679"/>
      <c r="H16" s="80">
        <f t="shared" si="2"/>
        <v>169.15</v>
      </c>
      <c r="I16" s="101">
        <f t="shared" si="3"/>
        <v>907812.16</v>
      </c>
      <c r="N16" s="621" t="s">
        <v>22</v>
      </c>
      <c r="O16" s="621"/>
      <c r="P16" s="662">
        <f t="shared" si="0"/>
        <v>0</v>
      </c>
      <c r="Q16" s="662"/>
      <c r="R16" s="667">
        <v>1</v>
      </c>
      <c r="S16" s="667"/>
      <c r="T16" s="95">
        <f t="shared" si="4"/>
        <v>0</v>
      </c>
      <c r="U16" s="486">
        <f t="shared" si="5"/>
        <v>0</v>
      </c>
    </row>
    <row r="17" spans="1:21" x14ac:dyDescent="0.25">
      <c r="A17" s="596" t="s">
        <v>23</v>
      </c>
      <c r="B17" s="596"/>
      <c r="C17" s="143">
        <v>13</v>
      </c>
      <c r="D17" s="143">
        <v>12</v>
      </c>
      <c r="E17" s="116">
        <f t="shared" si="1"/>
        <v>25</v>
      </c>
      <c r="F17" s="679">
        <f>'1461'!F17:G17</f>
        <v>1</v>
      </c>
      <c r="G17" s="679"/>
      <c r="H17" s="80">
        <f t="shared" si="2"/>
        <v>25</v>
      </c>
      <c r="I17" s="101">
        <f t="shared" si="3"/>
        <v>134172.65</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3.13</v>
      </c>
      <c r="D26" s="143">
        <v>2.69</v>
      </c>
      <c r="E26" s="116">
        <f t="shared" si="1"/>
        <v>5.82</v>
      </c>
      <c r="F26" s="679">
        <f>'1461'!F26:G26</f>
        <v>1.208</v>
      </c>
      <c r="G26" s="679"/>
      <c r="H26" s="80">
        <f t="shared" si="2"/>
        <v>7.0305999999999997</v>
      </c>
      <c r="I26" s="101">
        <f t="shared" si="3"/>
        <v>37732.57</v>
      </c>
      <c r="N26" s="621" t="s">
        <v>85</v>
      </c>
      <c r="O26" s="621"/>
      <c r="P26" s="662">
        <f t="shared" si="0"/>
        <v>0</v>
      </c>
      <c r="Q26" s="662"/>
      <c r="R26" s="667">
        <v>1</v>
      </c>
      <c r="S26" s="667"/>
      <c r="T26" s="95">
        <f t="shared" si="4"/>
        <v>0</v>
      </c>
      <c r="U26" s="486">
        <f t="shared" si="5"/>
        <v>0</v>
      </c>
    </row>
    <row r="27" spans="1:21" x14ac:dyDescent="0.25">
      <c r="A27" s="596" t="s">
        <v>86</v>
      </c>
      <c r="B27" s="596"/>
      <c r="C27" s="143">
        <v>3.45</v>
      </c>
      <c r="D27" s="143">
        <v>3.4</v>
      </c>
      <c r="E27" s="116">
        <f t="shared" si="1"/>
        <v>6.85</v>
      </c>
      <c r="F27" s="679">
        <f>'1461'!F27:G27</f>
        <v>1.208</v>
      </c>
      <c r="G27" s="679"/>
      <c r="H27" s="80">
        <f t="shared" si="2"/>
        <v>8.2748000000000008</v>
      </c>
      <c r="I27" s="101">
        <f t="shared" si="3"/>
        <v>44410.07</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163.72999999999999</v>
      </c>
      <c r="D30" s="94">
        <f>SUM(D14:D29)</f>
        <v>162.59</v>
      </c>
      <c r="E30" s="94">
        <f>SUM(E14:E29)</f>
        <v>326.32</v>
      </c>
      <c r="F30" s="600"/>
      <c r="G30" s="600"/>
      <c r="H30" s="99">
        <f>SUM(H14:H29)</f>
        <v>343.53440000000006</v>
      </c>
      <c r="I30" s="94">
        <f>SUM(I14:I29)</f>
        <v>1843716.85</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343.53440000000006</v>
      </c>
      <c r="F46" s="34"/>
      <c r="G46" s="106"/>
      <c r="H46" s="107" t="s">
        <v>98</v>
      </c>
      <c r="I46" s="94">
        <f>SUM(I44,I30)</f>
        <v>1843716.85</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1951884.16</v>
      </c>
      <c r="G51" s="109" t="s">
        <v>6</v>
      </c>
      <c r="H51" s="415">
        <v>4.5199999999999997E-2</v>
      </c>
      <c r="I51" s="101">
        <f>ROUND(F51*H51,2)</f>
        <v>88225.16</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1951884.16</v>
      </c>
      <c r="G52" s="109" t="s">
        <v>6</v>
      </c>
      <c r="H52" s="415">
        <v>1.41E-2</v>
      </c>
      <c r="I52" s="101">
        <f>ROUND(F52*H52,2)</f>
        <v>27521.57</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115746.73000000001</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5</v>
      </c>
      <c r="D57" s="143">
        <v>5.08</v>
      </c>
      <c r="E57" s="116">
        <f t="shared" ref="E57:E65" si="10">IF(D$66=0,C57*2,C57+D57)</f>
        <v>10.08</v>
      </c>
      <c r="F57" s="456" t="s">
        <v>462</v>
      </c>
      <c r="G57" s="456">
        <v>251</v>
      </c>
      <c r="H57" s="470">
        <f>'1461'!H57</f>
        <v>1047</v>
      </c>
      <c r="I57" s="101">
        <f>ROUND(E57*H57,2)</f>
        <v>10553.76</v>
      </c>
      <c r="N57" s="638" t="s">
        <v>470</v>
      </c>
      <c r="O57" s="638"/>
      <c r="P57" s="641"/>
      <c r="Q57" s="641"/>
      <c r="R57" s="462" t="s">
        <v>462</v>
      </c>
      <c r="S57" s="462">
        <v>251</v>
      </c>
      <c r="T57" s="473">
        <f>H57</f>
        <v>1047</v>
      </c>
      <c r="U57" s="487">
        <f>ROUND(P57*T57,2)</f>
        <v>0</v>
      </c>
      <c r="V57" s="438"/>
    </row>
    <row r="58" spans="1:22" x14ac:dyDescent="0.25">
      <c r="A58" s="607"/>
      <c r="B58" s="607"/>
      <c r="C58" s="143">
        <v>0.5</v>
      </c>
      <c r="D58" s="143">
        <v>1.42</v>
      </c>
      <c r="E58" s="116">
        <f t="shared" si="10"/>
        <v>1.92</v>
      </c>
      <c r="F58" s="456" t="s">
        <v>462</v>
      </c>
      <c r="G58" s="456">
        <v>252</v>
      </c>
      <c r="H58" s="470">
        <f>'1461'!H58</f>
        <v>3380</v>
      </c>
      <c r="I58" s="101">
        <f t="shared" ref="I58:I65" si="11">ROUND(E58*H58,2)</f>
        <v>6489.6</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12</v>
      </c>
      <c r="D60" s="143">
        <v>11.09</v>
      </c>
      <c r="E60" s="116">
        <f t="shared" si="10"/>
        <v>23.09</v>
      </c>
      <c r="F60" s="457" t="s">
        <v>13</v>
      </c>
      <c r="G60" s="456">
        <v>251</v>
      </c>
      <c r="H60" s="470">
        <f>'1461'!H60</f>
        <v>1173</v>
      </c>
      <c r="I60" s="101">
        <f t="shared" si="11"/>
        <v>27084.57</v>
      </c>
      <c r="N60" s="639"/>
      <c r="O60" s="639"/>
      <c r="P60" s="642"/>
      <c r="Q60" s="642"/>
      <c r="R60" s="40" t="s">
        <v>13</v>
      </c>
      <c r="S60" s="462">
        <v>251</v>
      </c>
      <c r="T60" s="473">
        <f t="shared" si="12"/>
        <v>1173</v>
      </c>
      <c r="U60" s="487">
        <f t="shared" si="13"/>
        <v>0</v>
      </c>
      <c r="V60" s="438"/>
    </row>
    <row r="61" spans="1:22" x14ac:dyDescent="0.25">
      <c r="A61" s="607"/>
      <c r="B61" s="607"/>
      <c r="C61" s="143">
        <v>1</v>
      </c>
      <c r="D61" s="143">
        <v>0.91</v>
      </c>
      <c r="E61" s="116">
        <f t="shared" si="10"/>
        <v>1.9100000000000001</v>
      </c>
      <c r="F61" s="457" t="s">
        <v>13</v>
      </c>
      <c r="G61" s="456">
        <v>252</v>
      </c>
      <c r="H61" s="470">
        <f>'1461'!H61</f>
        <v>3506</v>
      </c>
      <c r="I61" s="101">
        <f t="shared" si="11"/>
        <v>6696.46</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18.5</v>
      </c>
      <c r="D66" s="97">
        <f>SUM(D57:D65)</f>
        <v>18.5</v>
      </c>
      <c r="E66" s="97">
        <f>SUM(E57:E65)</f>
        <v>37</v>
      </c>
      <c r="F66" s="608" t="s">
        <v>471</v>
      </c>
      <c r="G66" s="608"/>
      <c r="H66" s="608"/>
      <c r="I66" s="97">
        <f>SUM(I57:I65)</f>
        <v>50824.39</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326.32</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1.6100000000000001E-3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343.53440000000006</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1.506E-3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326.32</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1.748E-3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326.32</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1.6130000000000001E-3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326.32</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1.751E-3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1.6130000000000001E-3</v>
      </c>
      <c r="I85" s="101">
        <f>ROUND(F85*H85,2)</f>
        <v>71782.77</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1.6100000000000001E-3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1.751E-3</v>
      </c>
      <c r="I90" s="101">
        <f>ROUND(F90*H90,2)</f>
        <v>28557.35</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1.748E-3</v>
      </c>
      <c r="I92" s="101">
        <f t="shared" ref="I92:I96" si="14">ROUND(F92*H92,2)</f>
        <v>17739.849999999999</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1.506E-3</v>
      </c>
      <c r="I94" s="101">
        <f t="shared" si="14"/>
        <v>359930.5</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1.506E-3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1.6100000000000001E-3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141.1096</v>
      </c>
      <c r="D104" s="614"/>
      <c r="E104" s="46">
        <f>H8</f>
        <v>1.0442</v>
      </c>
      <c r="F104" s="302">
        <f>'1461'!F104</f>
        <v>947.59</v>
      </c>
      <c r="G104" s="39" t="s">
        <v>12</v>
      </c>
      <c r="H104" s="101">
        <f>ROUND(C104*E104*F104,2)</f>
        <v>139624.21</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202.4248</v>
      </c>
      <c r="D105" s="614"/>
      <c r="E105" s="46">
        <f>H8</f>
        <v>1.0442</v>
      </c>
      <c r="F105" s="302">
        <f>'1461'!F105</f>
        <v>904.74</v>
      </c>
      <c r="G105" s="39" t="s">
        <v>12</v>
      </c>
      <c r="H105" s="101">
        <f>ROUND(C105*E105*F105,2)</f>
        <v>191236.68</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343.53440000000001</v>
      </c>
      <c r="D107" s="604"/>
      <c r="E107" s="123"/>
      <c r="F107" s="123"/>
      <c r="G107" s="123"/>
      <c r="H107" s="124" t="s">
        <v>100</v>
      </c>
      <c r="I107" s="101">
        <f>IF(A1=75,0,H106+H105+H104)</f>
        <v>330860.89</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0</v>
      </c>
      <c r="D113" s="143">
        <v>0</v>
      </c>
      <c r="E113" s="116">
        <f>(C113+D113)/2</f>
        <v>0</v>
      </c>
      <c r="F113" s="126" t="s">
        <v>30</v>
      </c>
      <c r="G113" s="303">
        <f>'1461'!G113</f>
        <v>536</v>
      </c>
      <c r="I113" s="101">
        <f>ROUND(G113*E113,2)</f>
        <v>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2703412.6</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2587665.87</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2587665.87</v>
      </c>
      <c r="I135" s="94">
        <f>ROUND(IF(E30=0,0,IF(E30&gt;250,-(((250/E30)*H135)*IF(G135="H",0.02,0.05)),IF(G135="H",-0.02*H135,-0.05*H135))),2)</f>
        <v>-39649.21</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2663763.39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-2663463.1999999997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300.19000000040978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300.19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12104.11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topLeftCell="A13"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343</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245.89</v>
      </c>
      <c r="D18" s="143">
        <v>268.45</v>
      </c>
      <c r="E18" s="116">
        <f t="shared" si="1"/>
        <v>514.33999999999992</v>
      </c>
      <c r="F18" s="679">
        <f>'1461'!F18:G18</f>
        <v>0.98799999999999999</v>
      </c>
      <c r="G18" s="679"/>
      <c r="H18" s="80">
        <f t="shared" si="2"/>
        <v>508.16789999999997</v>
      </c>
      <c r="I18" s="101">
        <f t="shared" si="3"/>
        <v>2727289.39</v>
      </c>
      <c r="N18" s="621" t="s">
        <v>24</v>
      </c>
      <c r="O18" s="621"/>
      <c r="P18" s="662">
        <f t="shared" si="0"/>
        <v>0</v>
      </c>
      <c r="Q18" s="662"/>
      <c r="R18" s="667">
        <v>1</v>
      </c>
      <c r="S18" s="667"/>
      <c r="T18" s="95">
        <f t="shared" si="4"/>
        <v>0</v>
      </c>
      <c r="U18" s="486">
        <f t="shared" si="5"/>
        <v>0</v>
      </c>
    </row>
    <row r="19" spans="1:21" x14ac:dyDescent="0.25">
      <c r="A19" s="596" t="s">
        <v>25</v>
      </c>
      <c r="B19" s="596"/>
      <c r="C19" s="143">
        <v>46.46</v>
      </c>
      <c r="D19" s="143">
        <v>48.4</v>
      </c>
      <c r="E19" s="116">
        <f t="shared" si="1"/>
        <v>94.86</v>
      </c>
      <c r="F19" s="679">
        <f>'1461'!F19:G19</f>
        <v>0.98799999999999999</v>
      </c>
      <c r="G19" s="679"/>
      <c r="H19" s="80">
        <f t="shared" si="2"/>
        <v>93.721699999999998</v>
      </c>
      <c r="I19" s="101">
        <f t="shared" si="3"/>
        <v>502995.56</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27.6</v>
      </c>
      <c r="D28" s="143">
        <v>29.18</v>
      </c>
      <c r="E28" s="116">
        <f t="shared" si="1"/>
        <v>56.78</v>
      </c>
      <c r="F28" s="679">
        <f>'1461'!F28:G28</f>
        <v>1.208</v>
      </c>
      <c r="G28" s="679"/>
      <c r="H28" s="80">
        <f t="shared" si="2"/>
        <v>68.590199999999996</v>
      </c>
      <c r="I28" s="101">
        <f t="shared" si="3"/>
        <v>368117.16</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319.95</v>
      </c>
      <c r="D30" s="94">
        <f>SUM(D14:D29)</f>
        <v>346.03</v>
      </c>
      <c r="E30" s="94">
        <f>SUM(E14:E29)</f>
        <v>665.9799999999999</v>
      </c>
      <c r="F30" s="600"/>
      <c r="G30" s="600"/>
      <c r="H30" s="99">
        <f>SUM(H14:H29)</f>
        <v>670.47979999999995</v>
      </c>
      <c r="I30" s="94">
        <f>SUM(I14:I29)</f>
        <v>3598402.1100000003</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670.47979999999995</v>
      </c>
      <c r="F46" s="34"/>
      <c r="G46" s="106"/>
      <c r="H46" s="107" t="s">
        <v>98</v>
      </c>
      <c r="I46" s="94">
        <f>SUM(I44,I30)</f>
        <v>3598402.1100000003</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3133954.35</v>
      </c>
      <c r="G51" s="109" t="s">
        <v>6</v>
      </c>
      <c r="H51" s="415">
        <v>4.5199999999999997E-2</v>
      </c>
      <c r="I51" s="101">
        <f>ROUND(F51*H51,2)</f>
        <v>141654.74</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3133954.35</v>
      </c>
      <c r="G52" s="109" t="s">
        <v>6</v>
      </c>
      <c r="H52" s="415">
        <v>1.41E-2</v>
      </c>
      <c r="I52" s="101">
        <f>ROUND(F52*H52,2)</f>
        <v>44188.76</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185843.5</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45.96</v>
      </c>
      <c r="D63" s="143">
        <v>48</v>
      </c>
      <c r="E63" s="116">
        <f t="shared" si="10"/>
        <v>93.960000000000008</v>
      </c>
      <c r="F63" s="457" t="s">
        <v>14</v>
      </c>
      <c r="G63" s="456">
        <v>251</v>
      </c>
      <c r="H63" s="470">
        <f>'1461'!H63</f>
        <v>835</v>
      </c>
      <c r="I63" s="101">
        <f t="shared" si="11"/>
        <v>78456.600000000006</v>
      </c>
      <c r="N63" s="639"/>
      <c r="O63" s="639"/>
      <c r="P63" s="642"/>
      <c r="Q63" s="642"/>
      <c r="R63" s="40" t="s">
        <v>14</v>
      </c>
      <c r="S63" s="462">
        <v>251</v>
      </c>
      <c r="T63" s="473">
        <f t="shared" si="12"/>
        <v>835</v>
      </c>
      <c r="U63" s="487">
        <f t="shared" si="13"/>
        <v>0</v>
      </c>
      <c r="V63" s="438"/>
    </row>
    <row r="64" spans="1:22" x14ac:dyDescent="0.25">
      <c r="A64" s="607"/>
      <c r="B64" s="607"/>
      <c r="C64" s="143">
        <v>0.5</v>
      </c>
      <c r="D64" s="143">
        <v>0.4</v>
      </c>
      <c r="E64" s="116">
        <f t="shared" si="10"/>
        <v>0.9</v>
      </c>
      <c r="F64" s="457" t="s">
        <v>14</v>
      </c>
      <c r="G64" s="456">
        <v>252</v>
      </c>
      <c r="H64" s="470">
        <f>'1461'!H64</f>
        <v>3168</v>
      </c>
      <c r="I64" s="101">
        <f t="shared" si="11"/>
        <v>2851.2</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46.46</v>
      </c>
      <c r="D66" s="97">
        <f>SUM(D57:D65)</f>
        <v>48.4</v>
      </c>
      <c r="E66" s="97">
        <f>SUM(E57:E65)</f>
        <v>94.860000000000014</v>
      </c>
      <c r="F66" s="608" t="s">
        <v>471</v>
      </c>
      <c r="G66" s="608"/>
      <c r="H66" s="608"/>
      <c r="I66" s="97">
        <f>SUM(I57:I65)</f>
        <v>81307.8</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665.9799999999999</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3.2859999999999999E-3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670.47979999999995</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2.9399999999999999E-3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665.9799999999999</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3.5669999999999999E-3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665.9799999999999</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3.2910000000000001E-3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665.9799999999999</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3.5729999999999998E-3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3.2910000000000001E-3</v>
      </c>
      <c r="I85" s="101">
        <f>ROUND(F85*H85,2)</f>
        <v>146458.21</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3.2859999999999999E-3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3.5729999999999998E-3</v>
      </c>
      <c r="I90" s="101">
        <f>ROUND(F90*H90,2)</f>
        <v>58272.66</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3.5669999999999999E-3</v>
      </c>
      <c r="I92" s="101">
        <f t="shared" ref="I92:I96" si="14">ROUND(F92*H92,2)</f>
        <v>36200.25</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2.9399999999999999E-3</v>
      </c>
      <c r="I94" s="101">
        <f t="shared" si="14"/>
        <v>702653.16</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2.9399999999999999E-3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3.2859999999999999E-3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670.47979999999995</v>
      </c>
      <c r="D106" s="614"/>
      <c r="E106" s="46">
        <f>H8</f>
        <v>1.0442</v>
      </c>
      <c r="F106" s="302">
        <f>'1461'!F106</f>
        <v>906.93</v>
      </c>
      <c r="G106" s="39" t="s">
        <v>12</v>
      </c>
      <c r="H106" s="94">
        <f>ROUND(C106*E106*F106,2)</f>
        <v>634955.30000000005</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670.47979999999995</v>
      </c>
      <c r="D107" s="604"/>
      <c r="E107" s="123"/>
      <c r="F107" s="123"/>
      <c r="G107" s="123"/>
      <c r="H107" s="124" t="s">
        <v>100</v>
      </c>
      <c r="I107" s="101">
        <f>IF(A1=75,0,H106+H105+H104)</f>
        <v>634955.30000000005</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413</v>
      </c>
      <c r="D113" s="143">
        <v>490</v>
      </c>
      <c r="E113" s="116">
        <f>(C113+D113)/2</f>
        <v>451.5</v>
      </c>
      <c r="F113" s="126" t="s">
        <v>30</v>
      </c>
      <c r="G113" s="303">
        <f>'1461'!G113</f>
        <v>536</v>
      </c>
      <c r="I113" s="101">
        <f>ROUND(G113*E113,2)</f>
        <v>242004</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5500253.4900000002</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5314409.99</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5314409.99</v>
      </c>
      <c r="I135" s="94">
        <f>ROUND(IF(E30=0,0,IF(E30&gt;250,-(((250/E30)*H135)*IF(G135="H",0.02,0.05)),IF(G135="H",-0.02*H135,-0.05*H135))),2)</f>
        <v>-99747.93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5400505.5600000005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-5409008.2799999993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-8502.7199999988079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-8502.7199999999993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165972.57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129</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106.56</v>
      </c>
      <c r="D14" s="141">
        <v>106.21</v>
      </c>
      <c r="E14" s="187">
        <f>IF(D$30=0,C14*2,C14+D14)</f>
        <v>212.76999999999998</v>
      </c>
      <c r="F14" s="687">
        <f>'1461'!F14:G14</f>
        <v>1.1220000000000001</v>
      </c>
      <c r="G14" s="687"/>
      <c r="H14" s="145">
        <f>ROUND(E14*F14,4)</f>
        <v>238.72790000000001</v>
      </c>
      <c r="I14" s="111">
        <f>ROUND(ROUND(ROUND(H14*$C$8,4)*($H$8),2)*(MAX($H$9,1)),2)</f>
        <v>1281230.21</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11.04</v>
      </c>
      <c r="D15" s="143">
        <v>11</v>
      </c>
      <c r="E15" s="116">
        <f t="shared" ref="E15:E29" si="1">IF(D$30=0,C15*2,C15+D15)</f>
        <v>22.04</v>
      </c>
      <c r="F15" s="679">
        <f>'1461'!F15:G15</f>
        <v>1.1220000000000001</v>
      </c>
      <c r="G15" s="679"/>
      <c r="H15" s="80">
        <f t="shared" ref="H15:H29" si="2">ROUND(E15*F15,4)</f>
        <v>24.728899999999999</v>
      </c>
      <c r="I15" s="101">
        <f t="shared" ref="I15:I29" si="3">ROUND(ROUND(ROUND(H15*$C$8,4)*($H$8),2)*(MAX($H$9,1)),2)</f>
        <v>132717.68</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175.06</v>
      </c>
      <c r="D16" s="143">
        <v>172.07</v>
      </c>
      <c r="E16" s="116">
        <f t="shared" si="1"/>
        <v>347.13</v>
      </c>
      <c r="F16" s="679">
        <f>'1461'!F16:G16</f>
        <v>1</v>
      </c>
      <c r="G16" s="679"/>
      <c r="H16" s="80">
        <f t="shared" si="2"/>
        <v>347.13</v>
      </c>
      <c r="I16" s="101">
        <f t="shared" si="3"/>
        <v>1863014.1</v>
      </c>
      <c r="N16" s="621" t="s">
        <v>22</v>
      </c>
      <c r="O16" s="621"/>
      <c r="P16" s="662">
        <f t="shared" si="0"/>
        <v>0</v>
      </c>
      <c r="Q16" s="662"/>
      <c r="R16" s="667">
        <v>1</v>
      </c>
      <c r="S16" s="667"/>
      <c r="T16" s="95">
        <f t="shared" si="4"/>
        <v>0</v>
      </c>
      <c r="U16" s="486">
        <f t="shared" si="5"/>
        <v>0</v>
      </c>
    </row>
    <row r="17" spans="1:21" x14ac:dyDescent="0.25">
      <c r="A17" s="596" t="s">
        <v>23</v>
      </c>
      <c r="B17" s="596"/>
      <c r="C17" s="143">
        <v>20.56</v>
      </c>
      <c r="D17" s="143">
        <v>19.5</v>
      </c>
      <c r="E17" s="116">
        <f t="shared" si="1"/>
        <v>40.06</v>
      </c>
      <c r="F17" s="679">
        <f>'1461'!F17:G17</f>
        <v>1</v>
      </c>
      <c r="G17" s="679"/>
      <c r="H17" s="80">
        <f t="shared" si="2"/>
        <v>40.06</v>
      </c>
      <c r="I17" s="101">
        <f t="shared" si="3"/>
        <v>214998.26</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23.62</v>
      </c>
      <c r="D26" s="143">
        <v>25.57</v>
      </c>
      <c r="E26" s="116">
        <f t="shared" si="1"/>
        <v>49.19</v>
      </c>
      <c r="F26" s="679">
        <f>'1461'!F26:G26</f>
        <v>1.208</v>
      </c>
      <c r="G26" s="679"/>
      <c r="H26" s="80">
        <f t="shared" si="2"/>
        <v>59.421500000000002</v>
      </c>
      <c r="I26" s="101">
        <f t="shared" si="3"/>
        <v>318909.61</v>
      </c>
      <c r="N26" s="621" t="s">
        <v>85</v>
      </c>
      <c r="O26" s="621"/>
      <c r="P26" s="662">
        <f t="shared" si="0"/>
        <v>0</v>
      </c>
      <c r="Q26" s="662"/>
      <c r="R26" s="667">
        <v>1</v>
      </c>
      <c r="S26" s="667"/>
      <c r="T26" s="95">
        <f t="shared" si="4"/>
        <v>0</v>
      </c>
      <c r="U26" s="486">
        <f t="shared" si="5"/>
        <v>0</v>
      </c>
    </row>
    <row r="27" spans="1:21" x14ac:dyDescent="0.25">
      <c r="A27" s="596" t="s">
        <v>86</v>
      </c>
      <c r="B27" s="596"/>
      <c r="C27" s="143">
        <v>19.22</v>
      </c>
      <c r="D27" s="143">
        <v>20.51</v>
      </c>
      <c r="E27" s="116">
        <f t="shared" si="1"/>
        <v>39.730000000000004</v>
      </c>
      <c r="F27" s="679">
        <f>'1461'!F27:G27</f>
        <v>1.208</v>
      </c>
      <c r="G27" s="679"/>
      <c r="H27" s="80">
        <f t="shared" si="2"/>
        <v>47.9938</v>
      </c>
      <c r="I27" s="101">
        <f t="shared" si="3"/>
        <v>257578.22</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356.05999999999995</v>
      </c>
      <c r="D30" s="94">
        <f>SUM(D14:D29)</f>
        <v>354.85999999999996</v>
      </c>
      <c r="E30" s="94">
        <f>SUM(E14:E29)</f>
        <v>710.92000000000007</v>
      </c>
      <c r="F30" s="600"/>
      <c r="G30" s="600"/>
      <c r="H30" s="99">
        <f>SUM(H14:H29)</f>
        <v>758.06209999999999</v>
      </c>
      <c r="I30" s="94">
        <f>SUM(I14:I29)</f>
        <v>4068448.08</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758.06209999999999</v>
      </c>
      <c r="F46" s="34"/>
      <c r="G46" s="106"/>
      <c r="H46" s="107" t="s">
        <v>98</v>
      </c>
      <c r="I46" s="94">
        <f>SUM(I44,I30)</f>
        <v>4068448.08</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4072704.5699999994</v>
      </c>
      <c r="G51" s="109" t="s">
        <v>6</v>
      </c>
      <c r="H51" s="415">
        <v>4.5199999999999997E-2</v>
      </c>
      <c r="I51" s="101">
        <f>ROUND(F51*H51,2)</f>
        <v>184086.25</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4072704.5699999994</v>
      </c>
      <c r="G52" s="109" t="s">
        <v>6</v>
      </c>
      <c r="H52" s="415">
        <v>1.41E-2</v>
      </c>
      <c r="I52" s="101">
        <f>ROUND(F52*H52,2)</f>
        <v>57425.13</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241511.38</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10.54</v>
      </c>
      <c r="D57" s="143">
        <v>10</v>
      </c>
      <c r="E57" s="116">
        <f t="shared" ref="E57:E65" si="10">IF(D$66=0,C57*2,C57+D57)</f>
        <v>20.54</v>
      </c>
      <c r="F57" s="456" t="s">
        <v>462</v>
      </c>
      <c r="G57" s="456">
        <v>251</v>
      </c>
      <c r="H57" s="470">
        <f>'1461'!H57</f>
        <v>1047</v>
      </c>
      <c r="I57" s="101">
        <f>ROUND(E57*H57,2)</f>
        <v>21505.38</v>
      </c>
      <c r="N57" s="638" t="s">
        <v>470</v>
      </c>
      <c r="O57" s="638"/>
      <c r="P57" s="641"/>
      <c r="Q57" s="641"/>
      <c r="R57" s="462" t="s">
        <v>462</v>
      </c>
      <c r="S57" s="462">
        <v>251</v>
      </c>
      <c r="T57" s="473">
        <f>H57</f>
        <v>1047</v>
      </c>
      <c r="U57" s="487">
        <f>ROUND(P57*T57,2)</f>
        <v>0</v>
      </c>
      <c r="V57" s="438"/>
    </row>
    <row r="58" spans="1:22" x14ac:dyDescent="0.25">
      <c r="A58" s="607"/>
      <c r="B58" s="607"/>
      <c r="C58" s="143">
        <v>0.5</v>
      </c>
      <c r="D58" s="143">
        <v>1</v>
      </c>
      <c r="E58" s="116">
        <f t="shared" si="10"/>
        <v>1.5</v>
      </c>
      <c r="F58" s="456" t="s">
        <v>462</v>
      </c>
      <c r="G58" s="456">
        <v>252</v>
      </c>
      <c r="H58" s="470">
        <f>'1461'!H58</f>
        <v>3380</v>
      </c>
      <c r="I58" s="101">
        <f t="shared" ref="I58:I65" si="11">ROUND(E58*H58,2)</f>
        <v>5070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16.55</v>
      </c>
      <c r="D60" s="143">
        <v>16.989999999999998</v>
      </c>
      <c r="E60" s="116">
        <f t="shared" si="10"/>
        <v>33.54</v>
      </c>
      <c r="F60" s="457" t="s">
        <v>13</v>
      </c>
      <c r="G60" s="456">
        <v>251</v>
      </c>
      <c r="H60" s="470">
        <f>'1461'!H60</f>
        <v>1173</v>
      </c>
      <c r="I60" s="101">
        <f t="shared" si="11"/>
        <v>39342.42</v>
      </c>
      <c r="N60" s="639"/>
      <c r="O60" s="639"/>
      <c r="P60" s="642"/>
      <c r="Q60" s="642"/>
      <c r="R60" s="40" t="s">
        <v>13</v>
      </c>
      <c r="S60" s="462">
        <v>251</v>
      </c>
      <c r="T60" s="473">
        <f t="shared" si="12"/>
        <v>1173</v>
      </c>
      <c r="U60" s="487">
        <f t="shared" si="13"/>
        <v>0</v>
      </c>
      <c r="V60" s="438"/>
    </row>
    <row r="61" spans="1:22" x14ac:dyDescent="0.25">
      <c r="A61" s="607"/>
      <c r="B61" s="607"/>
      <c r="C61" s="143">
        <v>4.01</v>
      </c>
      <c r="D61" s="143">
        <v>2.5099999999999998</v>
      </c>
      <c r="E61" s="116">
        <f t="shared" si="10"/>
        <v>6.52</v>
      </c>
      <c r="F61" s="457" t="s">
        <v>13</v>
      </c>
      <c r="G61" s="456">
        <v>252</v>
      </c>
      <c r="H61" s="470">
        <f>'1461'!H61</f>
        <v>3506</v>
      </c>
      <c r="I61" s="101">
        <f t="shared" si="11"/>
        <v>22859.119999999999</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31.6</v>
      </c>
      <c r="D66" s="97">
        <f>SUM(D57:D65)</f>
        <v>30.5</v>
      </c>
      <c r="E66" s="97">
        <f>SUM(E57:E65)</f>
        <v>62.099999999999994</v>
      </c>
      <c r="F66" s="608" t="s">
        <v>471</v>
      </c>
      <c r="G66" s="608"/>
      <c r="H66" s="608"/>
      <c r="I66" s="97">
        <f>SUM(I57:I65)</f>
        <v>88776.92</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710.92000000000007</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3.5079999999999998E-3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758.06209999999999</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3.3240000000000001E-3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710.92000000000007</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3.8070000000000001E-3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710.92000000000007</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3.5130000000000001E-3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710.92000000000007</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3.8149999999999998E-3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3.5130000000000001E-3</v>
      </c>
      <c r="I85" s="101">
        <f>ROUND(F85*H85,2)</f>
        <v>156337.79999999999</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3.5079999999999998E-3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3.8149999999999998E-3</v>
      </c>
      <c r="I90" s="101">
        <f>ROUND(F90*H90,2)</f>
        <v>62219.48</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3.8070000000000001E-3</v>
      </c>
      <c r="I92" s="101">
        <f t="shared" ref="I92:I96" si="14">ROUND(F92*H92,2)</f>
        <v>38635.93</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3.3240000000000001E-3</v>
      </c>
      <c r="I94" s="101">
        <f t="shared" si="14"/>
        <v>794428.27</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3.3240000000000001E-3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3.5079999999999998E-3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322.87829999999997</v>
      </c>
      <c r="D104" s="614"/>
      <c r="E104" s="46">
        <f>H8</f>
        <v>1.0442</v>
      </c>
      <c r="F104" s="302">
        <f>'1461'!F104</f>
        <v>947.59</v>
      </c>
      <c r="G104" s="39" t="s">
        <v>12</v>
      </c>
      <c r="H104" s="101">
        <f>ROUND(C104*E104*F104,2)</f>
        <v>319479.51</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435.18380000000002</v>
      </c>
      <c r="D105" s="614"/>
      <c r="E105" s="46">
        <f>H8</f>
        <v>1.0442</v>
      </c>
      <c r="F105" s="302">
        <f>'1461'!F105</f>
        <v>904.74</v>
      </c>
      <c r="G105" s="39" t="s">
        <v>12</v>
      </c>
      <c r="H105" s="101">
        <f>ROUND(C105*E105*F105,2)</f>
        <v>411130.98</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758.06209999999999</v>
      </c>
      <c r="D107" s="604"/>
      <c r="E107" s="123"/>
      <c r="F107" s="123"/>
      <c r="G107" s="123"/>
      <c r="H107" s="124" t="s">
        <v>100</v>
      </c>
      <c r="I107" s="101">
        <f>IF(A1=75,0,H106+H105+H104)</f>
        <v>730610.49</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91</v>
      </c>
      <c r="D113" s="143">
        <v>101</v>
      </c>
      <c r="E113" s="116">
        <f>(C113+D113)/2</f>
        <v>96</v>
      </c>
      <c r="F113" s="126" t="s">
        <v>30</v>
      </c>
      <c r="G113" s="303">
        <f>'1461'!G113</f>
        <v>536</v>
      </c>
      <c r="I113" s="101">
        <f>ROUND(G113*E113,2)</f>
        <v>51456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5990912.9700000007</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5749401.5900000008</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94" t="s">
        <v>530</v>
      </c>
      <c r="O132" s="695"/>
      <c r="P132" s="695"/>
      <c r="Q132" s="695"/>
      <c r="R132" s="695"/>
      <c r="S132" s="695"/>
      <c r="T132" s="695"/>
      <c r="U132" s="138"/>
    </row>
    <row r="133" spans="1:21" x14ac:dyDescent="0.25">
      <c r="A133" s="596" t="s">
        <v>70</v>
      </c>
      <c r="B133" s="596"/>
      <c r="C133" s="596"/>
      <c r="D133" s="596"/>
      <c r="E133" s="596"/>
      <c r="F133" s="596"/>
      <c r="G133" s="596"/>
      <c r="H133" s="70" t="str">
        <f>IF(E30=0,"",IF((E15+E17+SUM(E19:E25))/E30&gt;0.75,1,""))</f>
        <v/>
      </c>
      <c r="I133" s="116">
        <f>U130</f>
        <v>0</v>
      </c>
      <c r="N133" s="695" t="s">
        <v>70</v>
      </c>
      <c r="O133" s="695"/>
      <c r="P133" s="695"/>
      <c r="Q133" s="695"/>
      <c r="R133" s="695"/>
      <c r="S133" s="695"/>
      <c r="T133" s="69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5749401.5900000008</v>
      </c>
      <c r="I135" s="94">
        <f>ROUND(IF(E30=0,0,IF(E30&gt;250,-(((250/E30)*H135)*IF(G135="H",0.02,0.05)),IF(G135="H",-0.02*H135,-0.05*H135))),2)</f>
        <v>-101090.87</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5889822.1000000006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Payments'!Q104</f>
        <v>-5883629.0600000005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6193.0400000000373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6193.04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186379.21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130</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151.63999999999999</v>
      </c>
      <c r="D14" s="141">
        <v>148.52000000000001</v>
      </c>
      <c r="E14" s="187">
        <f>IF(D$30=0,C14*2,C14+D14)</f>
        <v>300.15999999999997</v>
      </c>
      <c r="F14" s="687">
        <f>'1461'!F14:G14</f>
        <v>1.1220000000000001</v>
      </c>
      <c r="G14" s="687"/>
      <c r="H14" s="145">
        <f>ROUND(E14*F14,4)</f>
        <v>336.77949999999998</v>
      </c>
      <c r="I14" s="111">
        <f>ROUND(ROUND(ROUND(H14*$C$8,4)*($H$8),2)*(MAX($H$9,1)),2)</f>
        <v>1807463.94</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21.56</v>
      </c>
      <c r="D15" s="143">
        <v>20</v>
      </c>
      <c r="E15" s="116">
        <f t="shared" ref="E15:E29" si="1">IF(D$30=0,C15*2,C15+D15)</f>
        <v>41.56</v>
      </c>
      <c r="F15" s="679">
        <f>'1461'!F15:G15</f>
        <v>1.1220000000000001</v>
      </c>
      <c r="G15" s="679"/>
      <c r="H15" s="80">
        <f t="shared" ref="H15:H29" si="2">ROUND(E15*F15,4)</f>
        <v>46.630299999999998</v>
      </c>
      <c r="I15" s="101">
        <f t="shared" ref="I15:I29" si="3">ROUND(ROUND(ROUND(H15*$C$8,4)*($H$8),2)*(MAX($H$9,1)),2)</f>
        <v>250260.44</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210.6</v>
      </c>
      <c r="D16" s="143">
        <v>205.72</v>
      </c>
      <c r="E16" s="116">
        <f t="shared" si="1"/>
        <v>416.32</v>
      </c>
      <c r="F16" s="679">
        <f>'1461'!F16:G16</f>
        <v>1</v>
      </c>
      <c r="G16" s="679"/>
      <c r="H16" s="80">
        <f t="shared" si="2"/>
        <v>416.32</v>
      </c>
      <c r="I16" s="101">
        <f t="shared" si="3"/>
        <v>2234350.33</v>
      </c>
      <c r="N16" s="621" t="s">
        <v>22</v>
      </c>
      <c r="O16" s="621"/>
      <c r="P16" s="662">
        <f t="shared" si="0"/>
        <v>0</v>
      </c>
      <c r="Q16" s="662"/>
      <c r="R16" s="667">
        <v>1</v>
      </c>
      <c r="S16" s="667"/>
      <c r="T16" s="95">
        <f t="shared" si="4"/>
        <v>0</v>
      </c>
      <c r="U16" s="486">
        <f t="shared" si="5"/>
        <v>0</v>
      </c>
    </row>
    <row r="17" spans="1:21" x14ac:dyDescent="0.25">
      <c r="A17" s="596" t="s">
        <v>23</v>
      </c>
      <c r="B17" s="596"/>
      <c r="C17" s="143">
        <v>27.51</v>
      </c>
      <c r="D17" s="143">
        <v>27.05</v>
      </c>
      <c r="E17" s="116">
        <f t="shared" si="1"/>
        <v>54.56</v>
      </c>
      <c r="F17" s="679">
        <f>'1461'!F17:G17</f>
        <v>1</v>
      </c>
      <c r="G17" s="679"/>
      <c r="H17" s="80">
        <f t="shared" si="2"/>
        <v>54.56</v>
      </c>
      <c r="I17" s="101">
        <f t="shared" si="3"/>
        <v>292818.39</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89.4</v>
      </c>
      <c r="D26" s="143">
        <v>86.68</v>
      </c>
      <c r="E26" s="116">
        <f t="shared" si="1"/>
        <v>176.08</v>
      </c>
      <c r="F26" s="679">
        <f>'1461'!F26:G26</f>
        <v>1.208</v>
      </c>
      <c r="G26" s="679"/>
      <c r="H26" s="80">
        <f t="shared" si="2"/>
        <v>212.7046</v>
      </c>
      <c r="I26" s="101">
        <f t="shared" si="3"/>
        <v>1141565.6100000001</v>
      </c>
      <c r="N26" s="621" t="s">
        <v>85</v>
      </c>
      <c r="O26" s="621"/>
      <c r="P26" s="662">
        <f t="shared" si="0"/>
        <v>0</v>
      </c>
      <c r="Q26" s="662"/>
      <c r="R26" s="667">
        <v>1</v>
      </c>
      <c r="S26" s="667"/>
      <c r="T26" s="95">
        <f t="shared" si="4"/>
        <v>0</v>
      </c>
      <c r="U26" s="486">
        <f t="shared" si="5"/>
        <v>0</v>
      </c>
    </row>
    <row r="27" spans="1:21" x14ac:dyDescent="0.25">
      <c r="A27" s="596" t="s">
        <v>86</v>
      </c>
      <c r="B27" s="596"/>
      <c r="C27" s="143">
        <v>52.48</v>
      </c>
      <c r="D27" s="143">
        <v>38.799999999999997</v>
      </c>
      <c r="E27" s="116">
        <f t="shared" si="1"/>
        <v>91.28</v>
      </c>
      <c r="F27" s="679">
        <f>'1461'!F27:G27</f>
        <v>1.208</v>
      </c>
      <c r="G27" s="679"/>
      <c r="H27" s="80">
        <f t="shared" si="2"/>
        <v>110.2662</v>
      </c>
      <c r="I27" s="101">
        <f t="shared" si="3"/>
        <v>591788.34</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553.18999999999994</v>
      </c>
      <c r="D30" s="94">
        <f>SUM(D14:D29)</f>
        <v>526.77</v>
      </c>
      <c r="E30" s="94">
        <f>SUM(E14:E29)</f>
        <v>1079.96</v>
      </c>
      <c r="F30" s="600"/>
      <c r="G30" s="600"/>
      <c r="H30" s="99">
        <f>SUM(H14:H29)</f>
        <v>1177.2606000000001</v>
      </c>
      <c r="I30" s="94">
        <f>SUM(I14:I29)</f>
        <v>6318247.0499999998</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1177.2606000000001</v>
      </c>
      <c r="F46" s="34"/>
      <c r="G46" s="106"/>
      <c r="H46" s="107" t="s">
        <v>98</v>
      </c>
      <c r="I46" s="94">
        <f>SUM(I44,I30)</f>
        <v>6318247.0499999998</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6643156.8600000003</v>
      </c>
      <c r="G51" s="109" t="s">
        <v>6</v>
      </c>
      <c r="H51" s="415">
        <v>4.5199999999999997E-2</v>
      </c>
      <c r="I51" s="101">
        <f>ROUND(F51*H51,2)</f>
        <v>300270.69</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6643156.8600000003</v>
      </c>
      <c r="G52" s="109" t="s">
        <v>6</v>
      </c>
      <c r="H52" s="415">
        <v>1.41E-2</v>
      </c>
      <c r="I52" s="101">
        <f>ROUND(F52*H52,2)</f>
        <v>93668.51</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393939.20000000001</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16.04</v>
      </c>
      <c r="D57" s="143">
        <v>12.5</v>
      </c>
      <c r="E57" s="116">
        <f t="shared" ref="E57:E65" si="10">IF(D$66=0,C57*2,C57+D57)</f>
        <v>28.54</v>
      </c>
      <c r="F57" s="456" t="s">
        <v>462</v>
      </c>
      <c r="G57" s="456">
        <v>251</v>
      </c>
      <c r="H57" s="470">
        <f>'1461'!H57</f>
        <v>1047</v>
      </c>
      <c r="I57" s="101">
        <f>ROUND(E57*H57,2)</f>
        <v>29881.38</v>
      </c>
      <c r="N57" s="638" t="s">
        <v>470</v>
      </c>
      <c r="O57" s="638"/>
      <c r="P57" s="641"/>
      <c r="Q57" s="641"/>
      <c r="R57" s="462" t="s">
        <v>462</v>
      </c>
      <c r="S57" s="462">
        <v>251</v>
      </c>
      <c r="T57" s="473">
        <f>H57</f>
        <v>1047</v>
      </c>
      <c r="U57" s="487">
        <f>ROUND(P57*T57,2)</f>
        <v>0</v>
      </c>
      <c r="V57" s="438"/>
    </row>
    <row r="58" spans="1:22" x14ac:dyDescent="0.25">
      <c r="A58" s="607"/>
      <c r="B58" s="607"/>
      <c r="C58" s="143">
        <v>5.52</v>
      </c>
      <c r="D58" s="143">
        <v>7.5</v>
      </c>
      <c r="E58" s="116">
        <f t="shared" si="10"/>
        <v>13.02</v>
      </c>
      <c r="F58" s="456" t="s">
        <v>462</v>
      </c>
      <c r="G58" s="456">
        <v>252</v>
      </c>
      <c r="H58" s="470">
        <f>'1461'!H58</f>
        <v>3380</v>
      </c>
      <c r="I58" s="101">
        <f t="shared" ref="I58:I65" si="11">ROUND(E58*H58,2)</f>
        <v>44007.6</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24.51</v>
      </c>
      <c r="D60" s="143">
        <v>23.63</v>
      </c>
      <c r="E60" s="116">
        <f t="shared" si="10"/>
        <v>48.14</v>
      </c>
      <c r="F60" s="457" t="s">
        <v>13</v>
      </c>
      <c r="G60" s="456">
        <v>251</v>
      </c>
      <c r="H60" s="470">
        <f>'1461'!H60</f>
        <v>1173</v>
      </c>
      <c r="I60" s="101">
        <f t="shared" si="11"/>
        <v>56468.22</v>
      </c>
      <c r="N60" s="639"/>
      <c r="O60" s="639"/>
      <c r="P60" s="642"/>
      <c r="Q60" s="642"/>
      <c r="R60" s="40" t="s">
        <v>13</v>
      </c>
      <c r="S60" s="462">
        <v>251</v>
      </c>
      <c r="T60" s="473">
        <f t="shared" si="12"/>
        <v>1173</v>
      </c>
      <c r="U60" s="487">
        <f t="shared" si="13"/>
        <v>0</v>
      </c>
      <c r="V60" s="438"/>
    </row>
    <row r="61" spans="1:22" x14ac:dyDescent="0.25">
      <c r="A61" s="607"/>
      <c r="B61" s="607"/>
      <c r="C61" s="143">
        <v>3</v>
      </c>
      <c r="D61" s="143">
        <v>2.92</v>
      </c>
      <c r="E61" s="116">
        <f t="shared" si="10"/>
        <v>5.92</v>
      </c>
      <c r="F61" s="457" t="s">
        <v>13</v>
      </c>
      <c r="G61" s="456">
        <v>252</v>
      </c>
      <c r="H61" s="470">
        <f>'1461'!H61</f>
        <v>3506</v>
      </c>
      <c r="I61" s="101">
        <f t="shared" si="11"/>
        <v>20755.52</v>
      </c>
      <c r="N61" s="639"/>
      <c r="O61" s="639"/>
      <c r="P61" s="642"/>
      <c r="Q61" s="642"/>
      <c r="R61" s="40" t="s">
        <v>13</v>
      </c>
      <c r="S61" s="462">
        <v>252</v>
      </c>
      <c r="T61" s="473">
        <f t="shared" si="12"/>
        <v>3506</v>
      </c>
      <c r="U61" s="487">
        <f t="shared" si="13"/>
        <v>0</v>
      </c>
      <c r="V61" s="438"/>
    </row>
    <row r="62" spans="1:22" x14ac:dyDescent="0.25">
      <c r="A62" s="607"/>
      <c r="B62" s="607"/>
      <c r="C62" s="143">
        <v>0</v>
      </c>
      <c r="D62" s="143">
        <v>0.5</v>
      </c>
      <c r="E62" s="116">
        <f t="shared" si="10"/>
        <v>0.5</v>
      </c>
      <c r="F62" s="457" t="s">
        <v>13</v>
      </c>
      <c r="G62" s="456">
        <v>253</v>
      </c>
      <c r="H62" s="470">
        <f>'1461'!H62</f>
        <v>7023</v>
      </c>
      <c r="I62" s="101">
        <f t="shared" si="11"/>
        <v>3511.5</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49.07</v>
      </c>
      <c r="D66" s="97">
        <f>SUM(D57:D65)</f>
        <v>47.05</v>
      </c>
      <c r="E66" s="97">
        <f>SUM(E57:E65)</f>
        <v>96.12</v>
      </c>
      <c r="F66" s="608" t="s">
        <v>471</v>
      </c>
      <c r="G66" s="608"/>
      <c r="H66" s="608"/>
      <c r="I66" s="97">
        <f>SUM(I57:I65)</f>
        <v>154624.22</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1079.96</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5.3280000000000003E-3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1177.2606000000001</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5.1619999999999999E-3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1079.96</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5.7840000000000001E-3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1079.96</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5.3369999999999997E-3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1079.96</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5.7949999999999998E-3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5.3369999999999997E-3</v>
      </c>
      <c r="I85" s="101">
        <f>ROUND(F85*H85,2)</f>
        <v>237510.62</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5.3280000000000003E-3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5.7949999999999998E-3</v>
      </c>
      <c r="I90" s="101">
        <f>ROUND(F90*H90,2)</f>
        <v>94511.63</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5.7840000000000001E-3</v>
      </c>
      <c r="I92" s="101">
        <f t="shared" ref="I92:I96" si="14">ROUND(F92*H92,2)</f>
        <v>58699.81</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5.1619999999999999E-3</v>
      </c>
      <c r="I94" s="101">
        <f t="shared" si="14"/>
        <v>1233705.99</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5.1619999999999999E-3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5.3280000000000003E-3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596.11439999999993</v>
      </c>
      <c r="D104" s="614"/>
      <c r="E104" s="46">
        <f>H8</f>
        <v>1.0442</v>
      </c>
      <c r="F104" s="302">
        <f>'1461'!F104</f>
        <v>947.59</v>
      </c>
      <c r="G104" s="39" t="s">
        <v>12</v>
      </c>
      <c r="H104" s="101">
        <f>ROUND(C104*E104*F104,2)</f>
        <v>589839.39</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581.14620000000002</v>
      </c>
      <c r="D105" s="614"/>
      <c r="E105" s="46">
        <f>H8</f>
        <v>1.0442</v>
      </c>
      <c r="F105" s="302">
        <f>'1461'!F105</f>
        <v>904.74</v>
      </c>
      <c r="G105" s="39" t="s">
        <v>12</v>
      </c>
      <c r="H105" s="101">
        <f>ROUND(C105*E105*F105,2)</f>
        <v>549025.96</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1177.2606000000001</v>
      </c>
      <c r="D107" s="604"/>
      <c r="E107" s="123"/>
      <c r="F107" s="123"/>
      <c r="G107" s="123"/>
      <c r="H107" s="124" t="s">
        <v>100</v>
      </c>
      <c r="I107" s="101">
        <f>IF(A1=75,0,H106+H105+H104)</f>
        <v>1138865.3500000001</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v>
      </c>
      <c r="D113" s="143">
        <v>0</v>
      </c>
      <c r="E113" s="116">
        <f>(C113+D113)/2</f>
        <v>1</v>
      </c>
      <c r="F113" s="126" t="s">
        <v>30</v>
      </c>
      <c r="G113" s="303">
        <f>'1461'!G113</f>
        <v>536</v>
      </c>
      <c r="I113" s="101">
        <f>ROUND(G113*E113,2)</f>
        <v>536</v>
      </c>
      <c r="N113" s="650" t="s">
        <v>52</v>
      </c>
      <c r="O113" s="650"/>
      <c r="P113" s="630">
        <f>IF(H133=1,E113,0)</f>
        <v>0</v>
      </c>
      <c r="Q113" s="630"/>
      <c r="R113" s="630"/>
      <c r="S113" s="83" t="s">
        <v>30</v>
      </c>
      <c r="T113" s="58">
        <f>G113</f>
        <v>536</v>
      </c>
      <c r="U113" s="486">
        <f>ROUND(T113*P113,2)</f>
        <v>0</v>
      </c>
    </row>
    <row r="114" spans="1:21" x14ac:dyDescent="0.25">
      <c r="A114" s="575" t="s">
        <v>404</v>
      </c>
      <c r="B114" s="576"/>
      <c r="C114" s="143">
        <v>1</v>
      </c>
      <c r="D114" s="143">
        <v>0</v>
      </c>
      <c r="E114" s="116">
        <f>(C114+D114)/2</f>
        <v>0.5</v>
      </c>
      <c r="F114" s="126" t="s">
        <v>30</v>
      </c>
      <c r="G114" s="303">
        <f>'1461'!G114</f>
        <v>1760</v>
      </c>
      <c r="I114" s="101">
        <f>ROUND(G114*E114,2)</f>
        <v>880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9237580.6699999999</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8843641.4700000007</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8843641.4700000007</v>
      </c>
      <c r="I135" s="94">
        <f>ROUND(IF(E30=0,0,IF(E30&gt;250,-(((250/E30)*H135)*IF(G135="H",0.02,0.05)),IF(G135="H",-0.02*H135,-0.05*H135))),2)</f>
        <v>-102360.75</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9135219.9199999999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Payments'!Q105</f>
        <v>-9138412.75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-3192.8300000000745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-3192.83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339821.32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131</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264.57</v>
      </c>
      <c r="D16" s="143">
        <v>272.33</v>
      </c>
      <c r="E16" s="116">
        <f t="shared" si="1"/>
        <v>536.9</v>
      </c>
      <c r="F16" s="679">
        <f>'1461'!F16:G16</f>
        <v>1</v>
      </c>
      <c r="G16" s="679"/>
      <c r="H16" s="80">
        <f t="shared" si="2"/>
        <v>536.9</v>
      </c>
      <c r="I16" s="101">
        <f t="shared" si="3"/>
        <v>2881491.87</v>
      </c>
      <c r="N16" s="621" t="s">
        <v>22</v>
      </c>
      <c r="O16" s="621"/>
      <c r="P16" s="662">
        <f t="shared" si="0"/>
        <v>0</v>
      </c>
      <c r="Q16" s="662"/>
      <c r="R16" s="667">
        <v>1</v>
      </c>
      <c r="S16" s="667"/>
      <c r="T16" s="95">
        <f t="shared" si="4"/>
        <v>0</v>
      </c>
      <c r="U16" s="486">
        <f t="shared" si="5"/>
        <v>0</v>
      </c>
    </row>
    <row r="17" spans="1:21" x14ac:dyDescent="0.25">
      <c r="A17" s="596" t="s">
        <v>23</v>
      </c>
      <c r="B17" s="596"/>
      <c r="C17" s="143">
        <v>53.15</v>
      </c>
      <c r="D17" s="143">
        <v>52.98</v>
      </c>
      <c r="E17" s="116">
        <f t="shared" si="1"/>
        <v>106.13</v>
      </c>
      <c r="F17" s="679">
        <f>'1461'!F17:G17</f>
        <v>1</v>
      </c>
      <c r="G17" s="679"/>
      <c r="H17" s="80">
        <f t="shared" si="2"/>
        <v>106.13</v>
      </c>
      <c r="I17" s="101">
        <f t="shared" si="3"/>
        <v>569589.74</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5.03</v>
      </c>
      <c r="D27" s="143">
        <v>5.93</v>
      </c>
      <c r="E27" s="116">
        <f t="shared" si="1"/>
        <v>10.96</v>
      </c>
      <c r="F27" s="679">
        <f>'1461'!F27:G27</f>
        <v>1.208</v>
      </c>
      <c r="G27" s="679"/>
      <c r="H27" s="80">
        <f t="shared" si="2"/>
        <v>13.239699999999999</v>
      </c>
      <c r="I27" s="101">
        <f t="shared" si="3"/>
        <v>71056.23</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322.74999999999994</v>
      </c>
      <c r="D30" s="94">
        <f>SUM(D14:D29)</f>
        <v>331.24</v>
      </c>
      <c r="E30" s="94">
        <f>SUM(E14:E29)</f>
        <v>653.99</v>
      </c>
      <c r="F30" s="600"/>
      <c r="G30" s="600"/>
      <c r="H30" s="99">
        <f>SUM(H14:H29)</f>
        <v>656.26969999999994</v>
      </c>
      <c r="I30" s="94">
        <f>SUM(I14:I29)</f>
        <v>3522137.8400000003</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656.26969999999994</v>
      </c>
      <c r="F46" s="34"/>
      <c r="G46" s="106"/>
      <c r="H46" s="107" t="s">
        <v>98</v>
      </c>
      <c r="I46" s="94">
        <f>SUM(I44,I30)</f>
        <v>3522137.8400000003</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3689839.6999999997</v>
      </c>
      <c r="G51" s="109" t="s">
        <v>6</v>
      </c>
      <c r="H51" s="415">
        <v>4.5199999999999997E-2</v>
      </c>
      <c r="I51" s="101">
        <f>ROUND(F51*H51,2)</f>
        <v>166780.75</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3689839.6999999997</v>
      </c>
      <c r="G52" s="109" t="s">
        <v>6</v>
      </c>
      <c r="H52" s="415">
        <v>1.41E-2</v>
      </c>
      <c r="I52" s="101">
        <f>ROUND(F52*H52,2)</f>
        <v>52026.74</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218807.49</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IF(D$72=0,C57*2,C57+D57)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49.13</v>
      </c>
      <c r="D60" s="143">
        <v>49.57</v>
      </c>
      <c r="E60" s="116">
        <f>IF(D$72=0,C60*2,C60+D60)</f>
        <v>98.7</v>
      </c>
      <c r="F60" s="457" t="s">
        <v>13</v>
      </c>
      <c r="G60" s="456">
        <v>251</v>
      </c>
      <c r="H60" s="470">
        <f>'1461'!H60</f>
        <v>1173</v>
      </c>
      <c r="I60" s="101">
        <f t="shared" si="11"/>
        <v>115775.1</v>
      </c>
      <c r="N60" s="639"/>
      <c r="O60" s="639"/>
      <c r="P60" s="642"/>
      <c r="Q60" s="642"/>
      <c r="R60" s="40" t="s">
        <v>13</v>
      </c>
      <c r="S60" s="462">
        <v>251</v>
      </c>
      <c r="T60" s="473">
        <f t="shared" si="12"/>
        <v>1173</v>
      </c>
      <c r="U60" s="487">
        <f t="shared" si="13"/>
        <v>0</v>
      </c>
      <c r="V60" s="438"/>
    </row>
    <row r="61" spans="1:22" x14ac:dyDescent="0.25">
      <c r="A61" s="607"/>
      <c r="B61" s="607"/>
      <c r="C61" s="143">
        <v>3.52</v>
      </c>
      <c r="D61" s="143">
        <v>3.41</v>
      </c>
      <c r="E61" s="116">
        <f>IF(D$72=0,C61*2,C61+D61)</f>
        <v>6.93</v>
      </c>
      <c r="F61" s="457" t="s">
        <v>13</v>
      </c>
      <c r="G61" s="456">
        <v>252</v>
      </c>
      <c r="H61" s="470">
        <f>'1461'!H61</f>
        <v>3506</v>
      </c>
      <c r="I61" s="101">
        <f t="shared" si="11"/>
        <v>24296.58</v>
      </c>
      <c r="N61" s="639"/>
      <c r="O61" s="639"/>
      <c r="P61" s="642"/>
      <c r="Q61" s="642"/>
      <c r="R61" s="40" t="s">
        <v>13</v>
      </c>
      <c r="S61" s="462">
        <v>252</v>
      </c>
      <c r="T61" s="473">
        <f t="shared" si="12"/>
        <v>3506</v>
      </c>
      <c r="U61" s="487">
        <f t="shared" si="13"/>
        <v>0</v>
      </c>
      <c r="V61" s="438"/>
    </row>
    <row r="62" spans="1:22" x14ac:dyDescent="0.25">
      <c r="A62" s="607"/>
      <c r="B62" s="607"/>
      <c r="C62" s="143">
        <v>0.5</v>
      </c>
      <c r="D62" s="143">
        <v>0</v>
      </c>
      <c r="E62" s="116">
        <f>IF(D$72=0,C62*2,C62+D62)</f>
        <v>0.5</v>
      </c>
      <c r="F62" s="457" t="s">
        <v>13</v>
      </c>
      <c r="G62" s="456">
        <v>253</v>
      </c>
      <c r="H62" s="470">
        <f>'1461'!H62</f>
        <v>7023</v>
      </c>
      <c r="I62" s="101">
        <f t="shared" si="11"/>
        <v>3511.5</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53.150000000000006</v>
      </c>
      <c r="D66" s="97">
        <f>SUM(D57:D65)</f>
        <v>52.980000000000004</v>
      </c>
      <c r="E66" s="97">
        <f>SUM(E57:E65)</f>
        <v>106.13</v>
      </c>
      <c r="F66" s="608" t="s">
        <v>471</v>
      </c>
      <c r="G66" s="608"/>
      <c r="H66" s="608"/>
      <c r="I66" s="97">
        <f>SUM(I57:I65)</f>
        <v>143583.18</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653.99</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3.2269999999999998E-3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656.26969999999994</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2.8779999999999999E-3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653.99</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3.503E-3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653.99</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3.2320000000000001E-3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653.99</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3.509E-3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3.2320000000000001E-3</v>
      </c>
      <c r="I85" s="101">
        <f>ROUND(F85*H85,2)</f>
        <v>143832.54999999999</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3.2269999999999998E-3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3.509E-3</v>
      </c>
      <c r="I90" s="101">
        <f>ROUND(F90*H90,2)</f>
        <v>57228.87</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3.503E-3</v>
      </c>
      <c r="I92" s="101">
        <f t="shared" ref="I92:I96" si="14">ROUND(F92*H92,2)</f>
        <v>35550.730000000003</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2.8779999999999999E-3</v>
      </c>
      <c r="I94" s="101">
        <f t="shared" si="14"/>
        <v>687835.31</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2.8779999999999999E-3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3.2269999999999998E-3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656.26969999999994</v>
      </c>
      <c r="D105" s="614"/>
      <c r="E105" s="46">
        <f>H8</f>
        <v>1.0442</v>
      </c>
      <c r="F105" s="302">
        <f>'1461'!F105</f>
        <v>904.74</v>
      </c>
      <c r="G105" s="39" t="s">
        <v>12</v>
      </c>
      <c r="H105" s="101">
        <f>ROUND(C105*E105*F105,2)</f>
        <v>619997.35</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656.26969999999994</v>
      </c>
      <c r="D107" s="604"/>
      <c r="E107" s="123"/>
      <c r="F107" s="123"/>
      <c r="G107" s="123"/>
      <c r="H107" s="124" t="s">
        <v>100</v>
      </c>
      <c r="I107" s="101">
        <f>IF(A1=75,0,H106+H105+H104)</f>
        <v>619997.35</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1</v>
      </c>
      <c r="D113" s="143">
        <v>4</v>
      </c>
      <c r="E113" s="116">
        <f>(C113+D113)/2</f>
        <v>2.5</v>
      </c>
      <c r="F113" s="126" t="s">
        <v>30</v>
      </c>
      <c r="G113" s="303">
        <f>'1461'!G113</f>
        <v>536</v>
      </c>
      <c r="I113" s="101">
        <f>ROUND(G113*E113,2)</f>
        <v>1340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5211505.83</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4992698.34</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4992698.34</v>
      </c>
      <c r="I135" s="94">
        <f>ROUND(IF(E30=0,0,IF(E30&gt;250,-(((250/E30)*H135)*IF(G135="H",0.02,0.05)),IF(G135="H",-0.02*H135,-0.05*H135))),2)</f>
        <v>-38171.06</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5173334.7700000005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-5174607.7300000004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-1272.9599999999627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-1272.96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61682.91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132</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422.71</v>
      </c>
      <c r="D18" s="143">
        <v>431.48</v>
      </c>
      <c r="E18" s="116">
        <f t="shared" si="1"/>
        <v>854.19</v>
      </c>
      <c r="F18" s="679">
        <f>'1461'!F18:G18</f>
        <v>0.98799999999999999</v>
      </c>
      <c r="G18" s="679"/>
      <c r="H18" s="80">
        <f t="shared" si="2"/>
        <v>843.93970000000002</v>
      </c>
      <c r="I18" s="101">
        <f t="shared" si="3"/>
        <v>4529345.0999999996</v>
      </c>
      <c r="N18" s="621" t="s">
        <v>24</v>
      </c>
      <c r="O18" s="621"/>
      <c r="P18" s="662">
        <f t="shared" si="0"/>
        <v>0</v>
      </c>
      <c r="Q18" s="662"/>
      <c r="R18" s="667">
        <v>1</v>
      </c>
      <c r="S18" s="667"/>
      <c r="T18" s="95">
        <f t="shared" si="4"/>
        <v>0</v>
      </c>
      <c r="U18" s="486">
        <f t="shared" si="5"/>
        <v>0</v>
      </c>
    </row>
    <row r="19" spans="1:21" x14ac:dyDescent="0.25">
      <c r="A19" s="596" t="s">
        <v>25</v>
      </c>
      <c r="B19" s="596"/>
      <c r="C19" s="143">
        <v>44.46</v>
      </c>
      <c r="D19" s="143">
        <v>36.03</v>
      </c>
      <c r="E19" s="116">
        <f t="shared" si="1"/>
        <v>80.490000000000009</v>
      </c>
      <c r="F19" s="679">
        <f>'1461'!F19:G19</f>
        <v>0.98799999999999999</v>
      </c>
      <c r="G19" s="679"/>
      <c r="H19" s="80">
        <f t="shared" si="2"/>
        <v>79.524100000000004</v>
      </c>
      <c r="I19" s="101">
        <f t="shared" si="3"/>
        <v>426798.37</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7.47</v>
      </c>
      <c r="D28" s="143">
        <v>6.89</v>
      </c>
      <c r="E28" s="116">
        <f t="shared" si="1"/>
        <v>14.36</v>
      </c>
      <c r="F28" s="679">
        <f>'1461'!F28:G28</f>
        <v>1.208</v>
      </c>
      <c r="G28" s="679"/>
      <c r="H28" s="80">
        <f t="shared" si="2"/>
        <v>17.346900000000002</v>
      </c>
      <c r="I28" s="101">
        <f t="shared" si="3"/>
        <v>93099.18</v>
      </c>
      <c r="N28" s="621" t="s">
        <v>87</v>
      </c>
      <c r="O28" s="621"/>
      <c r="P28" s="662">
        <f t="shared" si="0"/>
        <v>0</v>
      </c>
      <c r="Q28" s="662"/>
      <c r="R28" s="667">
        <v>1</v>
      </c>
      <c r="S28" s="667"/>
      <c r="T28" s="95">
        <f t="shared" si="4"/>
        <v>0</v>
      </c>
      <c r="U28" s="486">
        <f t="shared" si="5"/>
        <v>0</v>
      </c>
    </row>
    <row r="29" spans="1:21" x14ac:dyDescent="0.25">
      <c r="A29" s="596" t="s">
        <v>88</v>
      </c>
      <c r="B29" s="596"/>
      <c r="C29" s="110">
        <v>24.51</v>
      </c>
      <c r="D29" s="110">
        <v>25.01</v>
      </c>
      <c r="E29" s="154">
        <f t="shared" si="1"/>
        <v>49.52</v>
      </c>
      <c r="F29" s="679">
        <f>'1461'!F29:G29</f>
        <v>1.0720000000000001</v>
      </c>
      <c r="G29" s="679"/>
      <c r="H29" s="93">
        <f t="shared" si="2"/>
        <v>53.0854</v>
      </c>
      <c r="I29" s="94">
        <f t="shared" si="3"/>
        <v>284904.36</v>
      </c>
      <c r="N29" s="636" t="s">
        <v>88</v>
      </c>
      <c r="O29" s="636"/>
      <c r="P29" s="662">
        <f t="shared" si="0"/>
        <v>0</v>
      </c>
      <c r="Q29" s="662"/>
      <c r="R29" s="663">
        <v>1</v>
      </c>
      <c r="S29" s="663"/>
      <c r="T29" s="95">
        <f t="shared" si="4"/>
        <v>0</v>
      </c>
      <c r="U29" s="486">
        <f t="shared" si="5"/>
        <v>0</v>
      </c>
    </row>
    <row r="30" spans="1:21" x14ac:dyDescent="0.25">
      <c r="A30" s="608" t="s">
        <v>5</v>
      </c>
      <c r="B30" s="608"/>
      <c r="C30" s="94">
        <f>SUM(C14:C29)</f>
        <v>499.15</v>
      </c>
      <c r="D30" s="94">
        <f>SUM(D14:D29)</f>
        <v>499.40999999999997</v>
      </c>
      <c r="E30" s="94">
        <f>SUM(E14:E29)</f>
        <v>998.56000000000006</v>
      </c>
      <c r="F30" s="600"/>
      <c r="G30" s="600"/>
      <c r="H30" s="99">
        <f>SUM(H14:H29)</f>
        <v>993.89610000000005</v>
      </c>
      <c r="I30" s="94">
        <f>SUM(I14:I29)</f>
        <v>5334147.01</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993.89610000000005</v>
      </c>
      <c r="F46" s="34"/>
      <c r="G46" s="106"/>
      <c r="H46" s="107" t="s">
        <v>98</v>
      </c>
      <c r="I46" s="94">
        <f>SUM(I44,I30)</f>
        <v>5334147.01</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5675594.9400000004</v>
      </c>
      <c r="G51" s="109" t="s">
        <v>6</v>
      </c>
      <c r="H51" s="415">
        <v>4.5199999999999997E-2</v>
      </c>
      <c r="I51" s="101">
        <f>ROUND(F51*H51,2)</f>
        <v>256536.89</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5675594.9400000004</v>
      </c>
      <c r="G52" s="109" t="s">
        <v>6</v>
      </c>
      <c r="H52" s="415">
        <v>1.41E-2</v>
      </c>
      <c r="I52" s="101">
        <f>ROUND(F52*H52,2)</f>
        <v>80025.89</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336562.78</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42.96</v>
      </c>
      <c r="D63" s="143">
        <v>36.03</v>
      </c>
      <c r="E63" s="116">
        <f t="shared" si="10"/>
        <v>78.990000000000009</v>
      </c>
      <c r="F63" s="457" t="s">
        <v>14</v>
      </c>
      <c r="G63" s="456">
        <v>251</v>
      </c>
      <c r="H63" s="470">
        <f>'1461'!H63</f>
        <v>835</v>
      </c>
      <c r="I63" s="101">
        <f t="shared" si="11"/>
        <v>65956.649999999994</v>
      </c>
      <c r="N63" s="639"/>
      <c r="O63" s="639"/>
      <c r="P63" s="642"/>
      <c r="Q63" s="642"/>
      <c r="R63" s="40" t="s">
        <v>14</v>
      </c>
      <c r="S63" s="462">
        <v>251</v>
      </c>
      <c r="T63" s="473">
        <f t="shared" si="12"/>
        <v>835</v>
      </c>
      <c r="U63" s="487">
        <f t="shared" si="13"/>
        <v>0</v>
      </c>
      <c r="V63" s="438"/>
    </row>
    <row r="64" spans="1:22" x14ac:dyDescent="0.25">
      <c r="A64" s="607"/>
      <c r="B64" s="607"/>
      <c r="C64" s="143">
        <v>1.5</v>
      </c>
      <c r="D64" s="143">
        <v>0</v>
      </c>
      <c r="E64" s="116">
        <f t="shared" si="10"/>
        <v>1.5</v>
      </c>
      <c r="F64" s="457" t="s">
        <v>14</v>
      </c>
      <c r="G64" s="456">
        <v>252</v>
      </c>
      <c r="H64" s="470">
        <f>'1461'!H64</f>
        <v>3168</v>
      </c>
      <c r="I64" s="101">
        <f t="shared" si="11"/>
        <v>4752</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44.46</v>
      </c>
      <c r="D66" s="97">
        <f>SUM(D57:D65)</f>
        <v>36.03</v>
      </c>
      <c r="E66" s="97">
        <f>SUM(E57:E65)</f>
        <v>80.490000000000009</v>
      </c>
      <c r="F66" s="608" t="s">
        <v>471</v>
      </c>
      <c r="G66" s="608"/>
      <c r="H66" s="608"/>
      <c r="I66" s="97">
        <f>SUM(I57:I65)</f>
        <v>70708.649999999994</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998.56000000000006</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4.927E-3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993.89610000000005</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4.3579999999999999E-3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998.56000000000006</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5.3480000000000003E-3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998.56000000000006</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4.9350000000000002E-3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998.56000000000006</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5.3579999999999999E-3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4.9350000000000002E-3</v>
      </c>
      <c r="I85" s="101">
        <f>ROUND(F85*H85,2)</f>
        <v>219620.56</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4.927E-3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5.3579999999999999E-3</v>
      </c>
      <c r="I90" s="101">
        <f>ROUND(F90*H90,2)</f>
        <v>87384.52</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5.3480000000000003E-3</v>
      </c>
      <c r="I92" s="101">
        <f t="shared" ref="I92:I96" si="14">ROUND(F92*H92,2)</f>
        <v>54275</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4.3579999999999999E-3</v>
      </c>
      <c r="I94" s="101">
        <f t="shared" si="14"/>
        <v>1041551.86</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4.3579999999999999E-3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4.927E-3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993.89610000000005</v>
      </c>
      <c r="D106" s="614"/>
      <c r="E106" s="46">
        <f>H8</f>
        <v>1.0442</v>
      </c>
      <c r="F106" s="302">
        <f>'1461'!F106</f>
        <v>906.93</v>
      </c>
      <c r="G106" s="39" t="s">
        <v>12</v>
      </c>
      <c r="H106" s="94">
        <f>ROUND(C106*E106*F106,2)</f>
        <v>941235.81</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993.89610000000005</v>
      </c>
      <c r="D107" s="604"/>
      <c r="E107" s="123"/>
      <c r="F107" s="123"/>
      <c r="G107" s="123"/>
      <c r="H107" s="124" t="s">
        <v>100</v>
      </c>
      <c r="I107" s="101">
        <f>IF(A1=75,0,H106+H105+H104)</f>
        <v>941235.81</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3</v>
      </c>
      <c r="D113" s="143">
        <v>0</v>
      </c>
      <c r="E113" s="116">
        <f>(C113+D113)/2</f>
        <v>1.5</v>
      </c>
      <c r="F113" s="126" t="s">
        <v>30</v>
      </c>
      <c r="G113" s="303">
        <f>'1461'!G113</f>
        <v>536</v>
      </c>
      <c r="I113" s="101">
        <f>ROUND(G113*E113,2)</f>
        <v>804</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7749727.4100000001</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7413164.6299999999</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0" t="s">
        <v>240</v>
      </c>
      <c r="H135" s="139">
        <f>IF(H133=1,I133,I130)</f>
        <v>7413164.6299999999</v>
      </c>
      <c r="I135" s="94">
        <f>ROUND(IF(E30=0,0,IF(E30&gt;250,-(((250/E30)*H135)*IF(G135="H",0.02,0.05)),IF(G135="H",-0.02*H135,-0.05*H135))),2)</f>
        <v>-37119.269999999997</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7712608.1400000006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-7721238.0799999982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-8629.9399999976158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-8629.94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111144.02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348</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219.86</v>
      </c>
      <c r="D14" s="141">
        <v>210.25</v>
      </c>
      <c r="E14" s="187">
        <f>IF(D$30=0,C14*2,C14+D14)</f>
        <v>430.11</v>
      </c>
      <c r="F14" s="687">
        <f>'1461'!F14:G14</f>
        <v>1.1220000000000001</v>
      </c>
      <c r="G14" s="687"/>
      <c r="H14" s="145">
        <f>ROUND(E14*F14,4)</f>
        <v>482.58339999999998</v>
      </c>
      <c r="I14" s="111">
        <f>ROUND(ROUND(ROUND(H14*$C$8,4)*($H$8),2)*(MAX($H$9,1)),2)</f>
        <v>2589979.7799999998</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24.54</v>
      </c>
      <c r="D15" s="143">
        <v>29.23</v>
      </c>
      <c r="E15" s="116">
        <f t="shared" ref="E15:E29" si="1">IF(D$30=0,C15*2,C15+D15)</f>
        <v>53.769999999999996</v>
      </c>
      <c r="F15" s="679">
        <f>'1461'!F15:G15</f>
        <v>1.1220000000000001</v>
      </c>
      <c r="G15" s="679"/>
      <c r="H15" s="80">
        <f t="shared" ref="H15:H29" si="2">ROUND(E15*F15,4)</f>
        <v>60.329900000000002</v>
      </c>
      <c r="I15" s="101">
        <f t="shared" ref="I15:I29" si="3">ROUND(ROUND(ROUND(H15*$C$8,4)*($H$8),2)*(MAX($H$9,1)),2)</f>
        <v>323784.90999999997</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282.24</v>
      </c>
      <c r="D16" s="143">
        <v>284.08999999999997</v>
      </c>
      <c r="E16" s="116">
        <f t="shared" si="1"/>
        <v>566.32999999999993</v>
      </c>
      <c r="F16" s="679">
        <f>'1461'!F16:G16</f>
        <v>1</v>
      </c>
      <c r="G16" s="679"/>
      <c r="H16" s="80">
        <f t="shared" si="2"/>
        <v>566.33000000000004</v>
      </c>
      <c r="I16" s="101">
        <f t="shared" si="3"/>
        <v>3039439.91</v>
      </c>
      <c r="N16" s="621" t="s">
        <v>22</v>
      </c>
      <c r="O16" s="621"/>
      <c r="P16" s="662">
        <f t="shared" si="0"/>
        <v>0</v>
      </c>
      <c r="Q16" s="662"/>
      <c r="R16" s="667">
        <v>1</v>
      </c>
      <c r="S16" s="667"/>
      <c r="T16" s="95">
        <f t="shared" si="4"/>
        <v>0</v>
      </c>
      <c r="U16" s="486">
        <f t="shared" si="5"/>
        <v>0</v>
      </c>
    </row>
    <row r="17" spans="1:21" x14ac:dyDescent="0.25">
      <c r="A17" s="596" t="s">
        <v>23</v>
      </c>
      <c r="B17" s="596"/>
      <c r="C17" s="143">
        <v>37.369999999999997</v>
      </c>
      <c r="D17" s="143">
        <v>38.450000000000003</v>
      </c>
      <c r="E17" s="116">
        <f t="shared" si="1"/>
        <v>75.819999999999993</v>
      </c>
      <c r="F17" s="679">
        <f>'1461'!F17:G17</f>
        <v>1</v>
      </c>
      <c r="G17" s="679"/>
      <c r="H17" s="80">
        <f t="shared" si="2"/>
        <v>75.819999999999993</v>
      </c>
      <c r="I17" s="101">
        <f t="shared" si="3"/>
        <v>406918.82</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21.77</v>
      </c>
      <c r="D26" s="143">
        <v>21.84</v>
      </c>
      <c r="E26" s="116">
        <f t="shared" si="1"/>
        <v>43.61</v>
      </c>
      <c r="F26" s="679">
        <f>'1461'!F26:G26</f>
        <v>1.208</v>
      </c>
      <c r="G26" s="679"/>
      <c r="H26" s="80">
        <f t="shared" si="2"/>
        <v>52.680900000000001</v>
      </c>
      <c r="I26" s="101">
        <f t="shared" si="3"/>
        <v>282733.44</v>
      </c>
      <c r="N26" s="621" t="s">
        <v>85</v>
      </c>
      <c r="O26" s="621"/>
      <c r="P26" s="662">
        <f t="shared" si="0"/>
        <v>0</v>
      </c>
      <c r="Q26" s="662"/>
      <c r="R26" s="667">
        <v>1</v>
      </c>
      <c r="S26" s="667"/>
      <c r="T26" s="95">
        <f t="shared" si="4"/>
        <v>0</v>
      </c>
      <c r="U26" s="486">
        <f t="shared" si="5"/>
        <v>0</v>
      </c>
    </row>
    <row r="27" spans="1:21" x14ac:dyDescent="0.25">
      <c r="A27" s="596" t="s">
        <v>86</v>
      </c>
      <c r="B27" s="596"/>
      <c r="C27" s="143">
        <v>10.3</v>
      </c>
      <c r="D27" s="143">
        <v>10.9</v>
      </c>
      <c r="E27" s="116">
        <f t="shared" si="1"/>
        <v>21.200000000000003</v>
      </c>
      <c r="F27" s="679">
        <f>'1461'!F27:G27</f>
        <v>1.208</v>
      </c>
      <c r="G27" s="679"/>
      <c r="H27" s="80">
        <f t="shared" si="2"/>
        <v>25.6096</v>
      </c>
      <c r="I27" s="101">
        <f t="shared" si="3"/>
        <v>137444.32</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596.07999999999993</v>
      </c>
      <c r="D30" s="94">
        <f>SUM(D14:D29)</f>
        <v>594.76</v>
      </c>
      <c r="E30" s="94">
        <f>SUM(E14:E29)</f>
        <v>1190.8399999999999</v>
      </c>
      <c r="F30" s="600"/>
      <c r="G30" s="600"/>
      <c r="H30" s="99">
        <f>SUM(H14:H29)</f>
        <v>1263.3538000000001</v>
      </c>
      <c r="I30" s="94">
        <f>SUM(I14:I29)</f>
        <v>6780301.1800000006</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1263.3538000000001</v>
      </c>
      <c r="F46" s="34"/>
      <c r="G46" s="106"/>
      <c r="H46" s="107" t="s">
        <v>98</v>
      </c>
      <c r="I46" s="94">
        <f>SUM(I44,I30)</f>
        <v>6780301.1800000006</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7404591.4900000012</v>
      </c>
      <c r="G51" s="109" t="s">
        <v>6</v>
      </c>
      <c r="H51" s="415">
        <v>4.5199999999999997E-2</v>
      </c>
      <c r="I51" s="101">
        <f>ROUND(F51*H51,2)</f>
        <v>334687.53999999998</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7404591.4900000012</v>
      </c>
      <c r="G52" s="109" t="s">
        <v>6</v>
      </c>
      <c r="H52" s="415">
        <v>1.41E-2</v>
      </c>
      <c r="I52" s="101">
        <f>ROUND(F52*H52,2)</f>
        <v>104404.74</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439092.27999999997</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21.54</v>
      </c>
      <c r="D57" s="143">
        <v>24.61</v>
      </c>
      <c r="E57" s="116">
        <f t="shared" ref="E57:E65" si="10">IF(D$66=0,C57*2,C57+D57)</f>
        <v>46.15</v>
      </c>
      <c r="F57" s="456" t="s">
        <v>462</v>
      </c>
      <c r="G57" s="456">
        <v>251</v>
      </c>
      <c r="H57" s="470">
        <f>'1461'!H57</f>
        <v>1047</v>
      </c>
      <c r="I57" s="101">
        <f>ROUND(E57*H57,2)</f>
        <v>48319.05</v>
      </c>
      <c r="N57" s="638" t="s">
        <v>470</v>
      </c>
      <c r="O57" s="638"/>
      <c r="P57" s="641"/>
      <c r="Q57" s="641"/>
      <c r="R57" s="462" t="s">
        <v>462</v>
      </c>
      <c r="S57" s="462">
        <v>251</v>
      </c>
      <c r="T57" s="473">
        <f>H57</f>
        <v>1047</v>
      </c>
      <c r="U57" s="487">
        <f>ROUND(P57*T57,2)</f>
        <v>0</v>
      </c>
      <c r="V57" s="438"/>
    </row>
    <row r="58" spans="1:22" x14ac:dyDescent="0.25">
      <c r="A58" s="607"/>
      <c r="B58" s="607"/>
      <c r="C58" s="143">
        <v>2.5</v>
      </c>
      <c r="D58" s="143">
        <v>4.12</v>
      </c>
      <c r="E58" s="116">
        <f t="shared" si="10"/>
        <v>6.62</v>
      </c>
      <c r="F58" s="456" t="s">
        <v>462</v>
      </c>
      <c r="G58" s="456">
        <v>252</v>
      </c>
      <c r="H58" s="470">
        <f>'1461'!H58</f>
        <v>3380</v>
      </c>
      <c r="I58" s="101">
        <f t="shared" ref="I58:I65" si="11">ROUND(E58*H58,2)</f>
        <v>22375.599999999999</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0.5</v>
      </c>
      <c r="D59" s="143">
        <v>0.5</v>
      </c>
      <c r="E59" s="116">
        <f t="shared" si="10"/>
        <v>1</v>
      </c>
      <c r="F59" s="456" t="s">
        <v>462</v>
      </c>
      <c r="G59" s="456">
        <v>253</v>
      </c>
      <c r="H59" s="470">
        <f>'1461'!H59</f>
        <v>6896</v>
      </c>
      <c r="I59" s="101">
        <f t="shared" si="11"/>
        <v>6896</v>
      </c>
      <c r="N59" s="639"/>
      <c r="O59" s="639"/>
      <c r="P59" s="642"/>
      <c r="Q59" s="642"/>
      <c r="R59" s="462" t="s">
        <v>462</v>
      </c>
      <c r="S59" s="462">
        <v>253</v>
      </c>
      <c r="T59" s="473">
        <f t="shared" si="12"/>
        <v>6896</v>
      </c>
      <c r="U59" s="487">
        <f t="shared" si="13"/>
        <v>0</v>
      </c>
      <c r="V59" s="438"/>
    </row>
    <row r="60" spans="1:22" x14ac:dyDescent="0.25">
      <c r="A60" s="607"/>
      <c r="B60" s="607"/>
      <c r="C60" s="143">
        <v>33.380000000000003</v>
      </c>
      <c r="D60" s="143">
        <v>34.46</v>
      </c>
      <c r="E60" s="116">
        <f t="shared" si="10"/>
        <v>67.84</v>
      </c>
      <c r="F60" s="457" t="s">
        <v>13</v>
      </c>
      <c r="G60" s="456">
        <v>251</v>
      </c>
      <c r="H60" s="470">
        <f>'1461'!H60</f>
        <v>1173</v>
      </c>
      <c r="I60" s="101">
        <f t="shared" si="11"/>
        <v>79576.320000000007</v>
      </c>
      <c r="N60" s="639"/>
      <c r="O60" s="639"/>
      <c r="P60" s="642"/>
      <c r="Q60" s="642"/>
      <c r="R60" s="40" t="s">
        <v>13</v>
      </c>
      <c r="S60" s="462">
        <v>251</v>
      </c>
      <c r="T60" s="473">
        <f t="shared" si="12"/>
        <v>1173</v>
      </c>
      <c r="U60" s="487">
        <f t="shared" si="13"/>
        <v>0</v>
      </c>
      <c r="V60" s="438"/>
    </row>
    <row r="61" spans="1:22" x14ac:dyDescent="0.25">
      <c r="A61" s="607"/>
      <c r="B61" s="607"/>
      <c r="C61" s="143">
        <v>3.99</v>
      </c>
      <c r="D61" s="143">
        <v>3.99</v>
      </c>
      <c r="E61" s="116">
        <f t="shared" si="10"/>
        <v>7.98</v>
      </c>
      <c r="F61" s="457" t="s">
        <v>13</v>
      </c>
      <c r="G61" s="456">
        <v>252</v>
      </c>
      <c r="H61" s="470">
        <f>'1461'!H61</f>
        <v>3506</v>
      </c>
      <c r="I61" s="101">
        <f t="shared" si="11"/>
        <v>27977.88</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61.910000000000004</v>
      </c>
      <c r="D66" s="97">
        <f>SUM(D57:D65)</f>
        <v>67.679999999999993</v>
      </c>
      <c r="E66" s="97">
        <f>SUM(E57:E65)</f>
        <v>129.59</v>
      </c>
      <c r="F66" s="608" t="s">
        <v>471</v>
      </c>
      <c r="G66" s="608"/>
      <c r="H66" s="608"/>
      <c r="I66" s="97">
        <f>SUM(I57:I65)</f>
        <v>185144.85</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1190.8399999999999</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5.875E-3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1263.3538000000001</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5.5389999999999997E-3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1190.8399999999999</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6.378E-3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1190.8399999999999</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5.8849999999999996E-3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1190.8399999999999</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6.3899999999999998E-3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5.8849999999999996E-3</v>
      </c>
      <c r="I85" s="101">
        <f>ROUND(F85*H85,2)</f>
        <v>261898.07</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5.875E-3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6.3899999999999998E-3</v>
      </c>
      <c r="I90" s="101">
        <f>ROUND(F90*H90,2)</f>
        <v>104215.58</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6.378E-3</v>
      </c>
      <c r="I92" s="101">
        <f t="shared" ref="I92:I96" si="14">ROUND(F92*H92,2)</f>
        <v>64728.12</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5.5389999999999997E-3</v>
      </c>
      <c r="I94" s="101">
        <f t="shared" si="14"/>
        <v>1323808.1200000001</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5.5389999999999997E-3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5.875E-3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595.59419999999989</v>
      </c>
      <c r="D104" s="614"/>
      <c r="E104" s="46">
        <f>H8</f>
        <v>1.0442</v>
      </c>
      <c r="F104" s="302">
        <f>'1461'!F104</f>
        <v>947.59</v>
      </c>
      <c r="G104" s="39" t="s">
        <v>12</v>
      </c>
      <c r="H104" s="101">
        <f>ROUND(C104*E104*F104,2)</f>
        <v>589324.66</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667.75960000000009</v>
      </c>
      <c r="D105" s="614"/>
      <c r="E105" s="46">
        <f>H8</f>
        <v>1.0442</v>
      </c>
      <c r="F105" s="302">
        <f>'1461'!F105</f>
        <v>904.74</v>
      </c>
      <c r="G105" s="39" t="s">
        <v>12</v>
      </c>
      <c r="H105" s="101">
        <f>ROUND(C105*E105*F105,2)</f>
        <v>630852.19999999995</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1263.3537999999999</v>
      </c>
      <c r="D107" s="604"/>
      <c r="E107" s="123"/>
      <c r="F107" s="123"/>
      <c r="G107" s="123"/>
      <c r="H107" s="124" t="s">
        <v>100</v>
      </c>
      <c r="I107" s="101">
        <f>IF(A1=75,0,H106+H105+H104)</f>
        <v>1220176.8599999999</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186</v>
      </c>
      <c r="D113" s="143">
        <v>211</v>
      </c>
      <c r="E113" s="116">
        <f>(C113+D113)/2</f>
        <v>198.5</v>
      </c>
      <c r="F113" s="126" t="s">
        <v>30</v>
      </c>
      <c r="G113" s="303">
        <f>'1461'!G113</f>
        <v>536</v>
      </c>
      <c r="I113" s="101">
        <f>ROUND(G113*E113,2)</f>
        <v>106396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10046668.780000001</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9607576.5000000019</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9607576.5000000019</v>
      </c>
      <c r="I135" s="94">
        <f>ROUND(IF(E30=0,0,IF(E30&gt;250,-(((250/E30)*H135)*IF(G135="H",0.02,0.05)),IF(G135="H",-0.02*H135,-0.05*H135))),2)</f>
        <v>-100848.73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9945820.0500000007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-9951584.290000001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-5764.2400000002235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-5764.24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379530.1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topLeftCell="A18"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332</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J10" s="253"/>
      <c r="K10" s="65"/>
      <c r="L10" s="65"/>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J11" s="255"/>
      <c r="K11" s="254"/>
      <c r="L11" s="254"/>
      <c r="N11" s="12"/>
      <c r="O11" s="12"/>
      <c r="P11" s="13"/>
      <c r="Q11" s="13"/>
      <c r="R11" s="669" t="s">
        <v>1</v>
      </c>
      <c r="S11" s="669"/>
      <c r="T11" s="15" t="s">
        <v>60</v>
      </c>
      <c r="U11" s="16" t="s">
        <v>27</v>
      </c>
    </row>
    <row r="12" spans="1:21" ht="15.75" customHeight="1" x14ac:dyDescent="0.25">
      <c r="A12" s="590" t="s">
        <v>1</v>
      </c>
      <c r="B12" s="590"/>
      <c r="C12" s="341" t="str">
        <f>'1461'!C12</f>
        <v>FTE</v>
      </c>
      <c r="D12" s="339" t="str">
        <f>'1461'!D12</f>
        <v>FTE</v>
      </c>
      <c r="E12" s="339" t="s">
        <v>2</v>
      </c>
      <c r="F12" s="591" t="s">
        <v>63</v>
      </c>
      <c r="G12" s="591"/>
      <c r="H12" s="17" t="s">
        <v>59</v>
      </c>
      <c r="I12" s="402" t="s">
        <v>418</v>
      </c>
      <c r="J12" s="253"/>
      <c r="K12" s="254"/>
      <c r="L12" s="254"/>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K13" s="254"/>
      <c r="L13" s="254"/>
      <c r="N13" s="675" t="s">
        <v>36</v>
      </c>
      <c r="O13" s="675"/>
      <c r="P13" s="676" t="s">
        <v>37</v>
      </c>
      <c r="Q13" s="676"/>
      <c r="R13" s="677" t="s">
        <v>38</v>
      </c>
      <c r="S13" s="677"/>
      <c r="T13" s="22" t="s">
        <v>39</v>
      </c>
      <c r="U13" s="23" t="s">
        <v>40</v>
      </c>
    </row>
    <row r="14" spans="1:21" x14ac:dyDescent="0.25">
      <c r="A14" s="594" t="s">
        <v>20</v>
      </c>
      <c r="B14" s="594"/>
      <c r="C14" s="143">
        <v>42.55</v>
      </c>
      <c r="D14" s="141">
        <v>42.32</v>
      </c>
      <c r="E14" s="187">
        <f>IF(D$30=0,C14*2,C14+D14)</f>
        <v>84.87</v>
      </c>
      <c r="F14" s="687">
        <f>'1461'!F14:G14</f>
        <v>1.1220000000000001</v>
      </c>
      <c r="G14" s="687"/>
      <c r="H14" s="145">
        <f>ROUND(E14*F14,4)</f>
        <v>95.224100000000007</v>
      </c>
      <c r="I14" s="111">
        <f>ROUND(ROUND(ROUND(H14*$C$8,4)*($H$8),2)*(MAX($H$9,1)),2)</f>
        <v>511058.8</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1.54</v>
      </c>
      <c r="D15" s="143">
        <v>2.46</v>
      </c>
      <c r="E15" s="116">
        <f t="shared" ref="E15:E29" si="1">IF(D$30=0,C15*2,C15+D15)</f>
        <v>4</v>
      </c>
      <c r="F15" s="679">
        <f>'1461'!F15:G15</f>
        <v>1.1220000000000001</v>
      </c>
      <c r="G15" s="679"/>
      <c r="H15" s="80">
        <f t="shared" ref="H15:H29" si="2">ROUND(E15*F15,4)</f>
        <v>4.4880000000000004</v>
      </c>
      <c r="I15" s="101">
        <f t="shared" ref="I15:I29" si="3">ROUND(ROUND(ROUND(H15*$C$8,4)*($H$8),2)*(MAX($H$9,1)),2)</f>
        <v>24086.67</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26.68</v>
      </c>
      <c r="D16" s="143">
        <v>27.76</v>
      </c>
      <c r="E16" s="116">
        <f t="shared" si="1"/>
        <v>54.44</v>
      </c>
      <c r="F16" s="679">
        <f>'1461'!F16:G16</f>
        <v>1</v>
      </c>
      <c r="G16" s="679"/>
      <c r="H16" s="80">
        <f t="shared" si="2"/>
        <v>54.44</v>
      </c>
      <c r="I16" s="101">
        <f t="shared" si="3"/>
        <v>292174.37</v>
      </c>
      <c r="N16" s="621" t="s">
        <v>22</v>
      </c>
      <c r="O16" s="621"/>
      <c r="P16" s="662">
        <f t="shared" si="0"/>
        <v>0</v>
      </c>
      <c r="Q16" s="662"/>
      <c r="R16" s="667">
        <v>1</v>
      </c>
      <c r="S16" s="667"/>
      <c r="T16" s="95">
        <f t="shared" si="4"/>
        <v>0</v>
      </c>
      <c r="U16" s="486">
        <f t="shared" si="5"/>
        <v>0</v>
      </c>
    </row>
    <row r="17" spans="1:21" x14ac:dyDescent="0.25">
      <c r="A17" s="596" t="s">
        <v>23</v>
      </c>
      <c r="B17" s="596"/>
      <c r="C17" s="143">
        <v>2.61</v>
      </c>
      <c r="D17" s="143">
        <v>2.85</v>
      </c>
      <c r="E17" s="116">
        <f t="shared" si="1"/>
        <v>5.46</v>
      </c>
      <c r="F17" s="679">
        <f>'1461'!F17:G17</f>
        <v>1</v>
      </c>
      <c r="G17" s="679"/>
      <c r="H17" s="80">
        <f t="shared" si="2"/>
        <v>5.46</v>
      </c>
      <c r="I17" s="101">
        <f t="shared" si="3"/>
        <v>29303.31</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57.85</v>
      </c>
      <c r="D26" s="143">
        <v>61.11</v>
      </c>
      <c r="E26" s="116">
        <f t="shared" si="1"/>
        <v>118.96000000000001</v>
      </c>
      <c r="F26" s="679">
        <f>'1461'!F26:G26</f>
        <v>1.208</v>
      </c>
      <c r="G26" s="679"/>
      <c r="H26" s="80">
        <f t="shared" si="2"/>
        <v>143.7037</v>
      </c>
      <c r="I26" s="101">
        <f t="shared" si="3"/>
        <v>771244.26</v>
      </c>
      <c r="N26" s="621" t="s">
        <v>85</v>
      </c>
      <c r="O26" s="621"/>
      <c r="P26" s="662">
        <f t="shared" si="0"/>
        <v>0</v>
      </c>
      <c r="Q26" s="662"/>
      <c r="R26" s="667">
        <v>1</v>
      </c>
      <c r="S26" s="667"/>
      <c r="T26" s="95">
        <f t="shared" si="4"/>
        <v>0</v>
      </c>
      <c r="U26" s="486">
        <f t="shared" si="5"/>
        <v>0</v>
      </c>
    </row>
    <row r="27" spans="1:21" x14ac:dyDescent="0.25">
      <c r="A27" s="596" t="s">
        <v>86</v>
      </c>
      <c r="B27" s="596"/>
      <c r="C27" s="143">
        <v>27.48</v>
      </c>
      <c r="D27" s="143">
        <v>24.84</v>
      </c>
      <c r="E27" s="116">
        <f t="shared" si="1"/>
        <v>52.32</v>
      </c>
      <c r="F27" s="679">
        <f>'1461'!F27:G27</f>
        <v>1.208</v>
      </c>
      <c r="G27" s="679"/>
      <c r="H27" s="80">
        <f t="shared" si="2"/>
        <v>63.202599999999997</v>
      </c>
      <c r="I27" s="101">
        <f t="shared" si="3"/>
        <v>339202.42</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158.70999999999998</v>
      </c>
      <c r="D30" s="94">
        <f>SUM(D14:D29)+0</f>
        <v>161.34</v>
      </c>
      <c r="E30" s="94">
        <f>SUM(E14:E29)</f>
        <v>320.05</v>
      </c>
      <c r="F30" s="600"/>
      <c r="G30" s="600"/>
      <c r="H30" s="99">
        <f>SUM(H14:H29)</f>
        <v>366.51840000000004</v>
      </c>
      <c r="I30" s="94">
        <f>SUM(I14:I29)</f>
        <v>1967069.83</v>
      </c>
      <c r="K30" s="237"/>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366.51840000000004</v>
      </c>
      <c r="F46" s="34"/>
      <c r="G46" s="106"/>
      <c r="H46" s="107" t="s">
        <v>98</v>
      </c>
      <c r="I46" s="94">
        <f>SUM(I44,I30)</f>
        <v>1967069.83</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2088176.2</v>
      </c>
      <c r="G51" s="109" t="s">
        <v>6</v>
      </c>
      <c r="H51" s="415">
        <v>4.5199999999999997E-2</v>
      </c>
      <c r="I51" s="101">
        <f>ROUND(F51*H51,2)</f>
        <v>94385.56</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2088176.2</v>
      </c>
      <c r="G52" s="109" t="s">
        <v>6</v>
      </c>
      <c r="H52" s="415">
        <v>1.41E-2</v>
      </c>
      <c r="I52" s="101">
        <f>ROUND(F52*H52,2)</f>
        <v>29443.279999999999</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123828.84</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1.54</v>
      </c>
      <c r="D57" s="143">
        <v>2.46</v>
      </c>
      <c r="E57" s="116">
        <f>IF(D$66=0,C57*2,C57+D57)</f>
        <v>4</v>
      </c>
      <c r="F57" s="456" t="s">
        <v>462</v>
      </c>
      <c r="G57" s="456">
        <v>251</v>
      </c>
      <c r="H57" s="470">
        <f>'1461'!H57</f>
        <v>1047</v>
      </c>
      <c r="I57" s="101">
        <f>ROUND(E57*H57,2)</f>
        <v>4188</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ref="E58:E65" si="10">IF(D$66=0,C58*2,C58+D58)</f>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2.61</v>
      </c>
      <c r="D60" s="143">
        <v>2.85</v>
      </c>
      <c r="E60" s="116">
        <f t="shared" si="10"/>
        <v>5.46</v>
      </c>
      <c r="F60" s="457" t="s">
        <v>13</v>
      </c>
      <c r="G60" s="456">
        <v>251</v>
      </c>
      <c r="H60" s="470">
        <f>'1461'!H60</f>
        <v>1173</v>
      </c>
      <c r="I60" s="101">
        <f t="shared" si="11"/>
        <v>6404.58</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4.1500000000000004</v>
      </c>
      <c r="D66" s="97">
        <f>SUM(D57:D65)</f>
        <v>5.3100000000000005</v>
      </c>
      <c r="E66" s="97">
        <f>SUM(E57:E65)</f>
        <v>9.4600000000000009</v>
      </c>
      <c r="F66" s="608" t="s">
        <v>471</v>
      </c>
      <c r="G66" s="608"/>
      <c r="H66" s="608"/>
      <c r="I66" s="97">
        <f>SUM(I57:I65)</f>
        <v>10592.58</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320.05</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1.5790000000000001E-3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366.51840000000004</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1.6069999999999999E-3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320.05</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1.714E-3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320.05</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1.5820000000000001E-3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320.05</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1.717E-3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1.5820000000000001E-3</v>
      </c>
      <c r="I85" s="101">
        <f>ROUND(F85*H85,2)</f>
        <v>70403.19</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1.5790000000000001E-3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1.717E-3</v>
      </c>
      <c r="I90" s="101">
        <f>ROUND(F90*H90,2)</f>
        <v>28002.84</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1.714E-3</v>
      </c>
      <c r="I92" s="101">
        <f t="shared" ref="I92:I96" si="14">ROUND(F92*H92,2)</f>
        <v>17394.79</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1.6069999999999999E-3</v>
      </c>
      <c r="I94" s="101">
        <f t="shared" si="14"/>
        <v>384069.26</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1.6069999999999999E-3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1.5790000000000001E-3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243.41579999999999</v>
      </c>
      <c r="D104" s="614"/>
      <c r="E104" s="46">
        <f>H8</f>
        <v>1.0442</v>
      </c>
      <c r="F104" s="302">
        <f>'1461'!F104</f>
        <v>947.59</v>
      </c>
      <c r="G104" s="39" t="s">
        <v>12</v>
      </c>
      <c r="H104" s="101">
        <f>ROUND(C104*E104*F104,2)</f>
        <v>240853.48</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123.1026</v>
      </c>
      <c r="D105" s="614"/>
      <c r="E105" s="46">
        <f>H8</f>
        <v>1.0442</v>
      </c>
      <c r="F105" s="302">
        <f>'1461'!F105</f>
        <v>904.74</v>
      </c>
      <c r="G105" s="39" t="s">
        <v>12</v>
      </c>
      <c r="H105" s="101">
        <f>ROUND(C105*E105*F105,2)</f>
        <v>116298.66</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366.51839999999999</v>
      </c>
      <c r="D107" s="604"/>
      <c r="E107" s="123"/>
      <c r="F107" s="123"/>
      <c r="G107" s="123"/>
      <c r="H107" s="124" t="s">
        <v>100</v>
      </c>
      <c r="I107" s="101">
        <f>IF(A1=75,0,H106+H105+H104)</f>
        <v>357152.14</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41"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v>
      </c>
      <c r="D113" s="143">
        <v>0</v>
      </c>
      <c r="E113" s="116">
        <f>(C113+D113)/2</f>
        <v>1</v>
      </c>
      <c r="F113" s="126" t="s">
        <v>30</v>
      </c>
      <c r="G113" s="303">
        <f>'1461'!G113</f>
        <v>536</v>
      </c>
      <c r="I113" s="101">
        <f>ROUND(G113*E113,2)</f>
        <v>536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2835220.6300000004</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2711391.7900000005</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2711391.7900000005</v>
      </c>
      <c r="I135" s="94">
        <f>ROUND(IF(E30=0,0,IF(E30&gt;250,-(((250/E30)*H135)*IF(G135="H",0.02,0.05)),IF(G135="H",-0.02*H135,-0.05*H135))),2)</f>
        <v>-105897.2</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2729323.43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Payments'!Q109</f>
        <v>-2686499.74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6">
        <f>I137+I139</f>
        <v>42823.689999999944</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42823.69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29672.39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1"/>
    </row>
    <row r="207" spans="1:14" x14ac:dyDescent="0.25">
      <c r="A207" s="74"/>
      <c r="K207" s="251"/>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353</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J10" s="253"/>
      <c r="K10" s="65"/>
      <c r="L10" s="65"/>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J11" s="255"/>
      <c r="K11" s="254"/>
      <c r="L11" s="254"/>
      <c r="N11" s="12"/>
      <c r="O11" s="12"/>
      <c r="P11" s="13"/>
      <c r="Q11" s="13"/>
      <c r="R11" s="669" t="s">
        <v>1</v>
      </c>
      <c r="S11" s="669"/>
      <c r="T11" s="15" t="s">
        <v>60</v>
      </c>
      <c r="U11" s="16" t="s">
        <v>27</v>
      </c>
    </row>
    <row r="12" spans="1:21" ht="15.75" customHeight="1" x14ac:dyDescent="0.25">
      <c r="A12" s="590" t="s">
        <v>1</v>
      </c>
      <c r="B12" s="590"/>
      <c r="C12" s="341" t="str">
        <f>'1461'!C12</f>
        <v>FTE</v>
      </c>
      <c r="D12" s="339" t="str">
        <f>'1461'!D12</f>
        <v>FTE</v>
      </c>
      <c r="E12" s="339" t="s">
        <v>2</v>
      </c>
      <c r="F12" s="591" t="s">
        <v>63</v>
      </c>
      <c r="G12" s="591"/>
      <c r="H12" s="17" t="s">
        <v>59</v>
      </c>
      <c r="I12" s="402" t="s">
        <v>418</v>
      </c>
      <c r="J12" s="253"/>
      <c r="K12" s="254"/>
      <c r="L12" s="254"/>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K13" s="254"/>
      <c r="L13" s="254"/>
      <c r="N13" s="675" t="s">
        <v>36</v>
      </c>
      <c r="O13" s="675"/>
      <c r="P13" s="676" t="s">
        <v>37</v>
      </c>
      <c r="Q13" s="676"/>
      <c r="R13" s="677" t="s">
        <v>38</v>
      </c>
      <c r="S13" s="677"/>
      <c r="T13" s="22" t="s">
        <v>39</v>
      </c>
      <c r="U13" s="23" t="s">
        <v>40</v>
      </c>
    </row>
    <row r="14" spans="1:21" x14ac:dyDescent="0.25">
      <c r="A14" s="594" t="s">
        <v>20</v>
      </c>
      <c r="B14" s="594"/>
      <c r="C14" s="143">
        <v>86.46</v>
      </c>
      <c r="D14" s="141">
        <v>82.74</v>
      </c>
      <c r="E14" s="187">
        <f>IF(D$30=0,C14*2,C14+D14)</f>
        <v>169.2</v>
      </c>
      <c r="F14" s="687">
        <f>'1461'!F14:G14</f>
        <v>1.1220000000000001</v>
      </c>
      <c r="G14" s="687"/>
      <c r="H14" s="145">
        <f>ROUND(E14*F14,4)</f>
        <v>189.8424</v>
      </c>
      <c r="I14" s="111">
        <f>ROUND(ROUND(ROUND(H14*$C$8,4)*($H$8),2)*(MAX($H$9,1)),2)</f>
        <v>1018866.33</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9.5399999999999991</v>
      </c>
      <c r="D15" s="143">
        <v>8.52</v>
      </c>
      <c r="E15" s="116">
        <f t="shared" ref="E15:E29" si="1">IF(D$30=0,C15*2,C15+D15)</f>
        <v>18.059999999999999</v>
      </c>
      <c r="F15" s="679">
        <f>'1461'!F15:G15</f>
        <v>1.1220000000000001</v>
      </c>
      <c r="G15" s="679"/>
      <c r="H15" s="80">
        <f t="shared" ref="H15:H29" si="2">ROUND(E15*F15,4)</f>
        <v>20.263300000000001</v>
      </c>
      <c r="I15" s="101">
        <f t="shared" ref="I15:I29" si="3">ROUND(ROUND(ROUND(H15*$C$8,4)*($H$8),2)*(MAX($H$9,1)),2)</f>
        <v>108751.23</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108.17</v>
      </c>
      <c r="D16" s="143">
        <v>103.44</v>
      </c>
      <c r="E16" s="116">
        <f t="shared" si="1"/>
        <v>211.61</v>
      </c>
      <c r="F16" s="679">
        <f>'1461'!F16:G16</f>
        <v>1</v>
      </c>
      <c r="G16" s="679"/>
      <c r="H16" s="80">
        <f t="shared" si="2"/>
        <v>211.61</v>
      </c>
      <c r="I16" s="101">
        <f t="shared" si="3"/>
        <v>1135690.99</v>
      </c>
      <c r="N16" s="621" t="s">
        <v>22</v>
      </c>
      <c r="O16" s="621"/>
      <c r="P16" s="662">
        <f t="shared" si="0"/>
        <v>0</v>
      </c>
      <c r="Q16" s="662"/>
      <c r="R16" s="667">
        <v>1</v>
      </c>
      <c r="S16" s="667"/>
      <c r="T16" s="95">
        <f t="shared" si="4"/>
        <v>0</v>
      </c>
      <c r="U16" s="486">
        <f t="shared" si="5"/>
        <v>0</v>
      </c>
    </row>
    <row r="17" spans="1:21" x14ac:dyDescent="0.25">
      <c r="A17" s="596" t="s">
        <v>23</v>
      </c>
      <c r="B17" s="596"/>
      <c r="C17" s="143">
        <v>23.12</v>
      </c>
      <c r="D17" s="143">
        <v>21.01</v>
      </c>
      <c r="E17" s="116">
        <f t="shared" si="1"/>
        <v>44.13</v>
      </c>
      <c r="F17" s="679">
        <f>'1461'!F17:G17</f>
        <v>1</v>
      </c>
      <c r="G17" s="679"/>
      <c r="H17" s="80">
        <f t="shared" si="2"/>
        <v>44.13</v>
      </c>
      <c r="I17" s="101">
        <f t="shared" si="3"/>
        <v>236841.56</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28.47</v>
      </c>
      <c r="D26" s="143">
        <v>28.39</v>
      </c>
      <c r="E26" s="116">
        <f t="shared" si="1"/>
        <v>56.86</v>
      </c>
      <c r="F26" s="679">
        <f>'1461'!F26:G26</f>
        <v>1.208</v>
      </c>
      <c r="G26" s="679"/>
      <c r="H26" s="80">
        <f t="shared" si="2"/>
        <v>68.686899999999994</v>
      </c>
      <c r="I26" s="101">
        <f t="shared" si="3"/>
        <v>368636.14</v>
      </c>
      <c r="N26" s="621" t="s">
        <v>85</v>
      </c>
      <c r="O26" s="621"/>
      <c r="P26" s="662">
        <f t="shared" si="0"/>
        <v>0</v>
      </c>
      <c r="Q26" s="662"/>
      <c r="R26" s="667">
        <v>1</v>
      </c>
      <c r="S26" s="667"/>
      <c r="T26" s="95">
        <f t="shared" si="4"/>
        <v>0</v>
      </c>
      <c r="U26" s="486">
        <f t="shared" si="5"/>
        <v>0</v>
      </c>
    </row>
    <row r="27" spans="1:21" x14ac:dyDescent="0.25">
      <c r="A27" s="596" t="s">
        <v>86</v>
      </c>
      <c r="B27" s="596"/>
      <c r="C27" s="143">
        <v>15.26</v>
      </c>
      <c r="D27" s="143">
        <v>17.52</v>
      </c>
      <c r="E27" s="116">
        <f t="shared" si="1"/>
        <v>32.78</v>
      </c>
      <c r="F27" s="679">
        <f>'1461'!F27:G27</f>
        <v>1.208</v>
      </c>
      <c r="G27" s="679"/>
      <c r="H27" s="80">
        <f t="shared" si="2"/>
        <v>39.598199999999999</v>
      </c>
      <c r="I27" s="101">
        <f t="shared" si="3"/>
        <v>212519.82</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271.02000000000004</v>
      </c>
      <c r="D30" s="94">
        <f>SUM(D14:D29)</f>
        <v>261.61999999999995</v>
      </c>
      <c r="E30" s="94">
        <f>SUM(E14:E29)</f>
        <v>532.64</v>
      </c>
      <c r="F30" s="600"/>
      <c r="G30" s="600"/>
      <c r="H30" s="99">
        <f>SUM(H14:H29)</f>
        <v>574.13080000000002</v>
      </c>
      <c r="I30" s="94">
        <f>SUM(I14:I29)</f>
        <v>3081306.07</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574.13080000000002</v>
      </c>
      <c r="F46" s="34"/>
      <c r="G46" s="106"/>
      <c r="H46" s="107" t="s">
        <v>98</v>
      </c>
      <c r="I46" s="94">
        <f>SUM(I44,I30)</f>
        <v>3081306.07</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2691286.0400000005</v>
      </c>
      <c r="G51" s="109" t="s">
        <v>6</v>
      </c>
      <c r="H51" s="415">
        <v>4.5199999999999997E-2</v>
      </c>
      <c r="I51" s="101">
        <f>ROUND(F51*H51,2)</f>
        <v>121646.13</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2691286.0400000005</v>
      </c>
      <c r="G52" s="109" t="s">
        <v>6</v>
      </c>
      <c r="H52" s="415">
        <v>1.41E-2</v>
      </c>
      <c r="I52" s="101">
        <f>ROUND(F52*H52,2)</f>
        <v>37947.129999999997</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159593.26</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9.0399999999999991</v>
      </c>
      <c r="D57" s="143">
        <v>8.52</v>
      </c>
      <c r="E57" s="116">
        <f t="shared" ref="E57:E65" si="10">IF(D$66=0,C57*2,C57+D57)</f>
        <v>17.559999999999999</v>
      </c>
      <c r="F57" s="456" t="s">
        <v>462</v>
      </c>
      <c r="G57" s="456">
        <v>251</v>
      </c>
      <c r="H57" s="470">
        <f>'1461'!H57</f>
        <v>1047</v>
      </c>
      <c r="I57" s="101">
        <f>ROUND(E57*H57,2)</f>
        <v>18385.32</v>
      </c>
      <c r="N57" s="638" t="s">
        <v>470</v>
      </c>
      <c r="O57" s="638"/>
      <c r="P57" s="641"/>
      <c r="Q57" s="641"/>
      <c r="R57" s="462" t="s">
        <v>462</v>
      </c>
      <c r="S57" s="462">
        <v>251</v>
      </c>
      <c r="T57" s="473">
        <f>H57</f>
        <v>1047</v>
      </c>
      <c r="U57" s="487">
        <f>ROUND(P57*T57,2)</f>
        <v>0</v>
      </c>
      <c r="V57" s="438"/>
    </row>
    <row r="58" spans="1:22" x14ac:dyDescent="0.25">
      <c r="A58" s="607"/>
      <c r="B58" s="607"/>
      <c r="C58" s="143">
        <v>0.5</v>
      </c>
      <c r="D58" s="143">
        <v>0</v>
      </c>
      <c r="E58" s="116">
        <f t="shared" si="10"/>
        <v>0.5</v>
      </c>
      <c r="F58" s="456" t="s">
        <v>462</v>
      </c>
      <c r="G58" s="456">
        <v>252</v>
      </c>
      <c r="H58" s="470">
        <f>'1461'!H58</f>
        <v>3380</v>
      </c>
      <c r="I58" s="101">
        <f t="shared" ref="I58:I65" si="11">ROUND(E58*H58,2)</f>
        <v>1690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21.11</v>
      </c>
      <c r="D60" s="143">
        <v>17.989999999999998</v>
      </c>
      <c r="E60" s="116">
        <f t="shared" si="10"/>
        <v>39.099999999999994</v>
      </c>
      <c r="F60" s="457" t="s">
        <v>13</v>
      </c>
      <c r="G60" s="456">
        <v>251</v>
      </c>
      <c r="H60" s="470">
        <f>'1461'!H60</f>
        <v>1173</v>
      </c>
      <c r="I60" s="101">
        <f t="shared" si="11"/>
        <v>45864.3</v>
      </c>
      <c r="N60" s="639"/>
      <c r="O60" s="639"/>
      <c r="P60" s="642"/>
      <c r="Q60" s="642"/>
      <c r="R60" s="40" t="s">
        <v>13</v>
      </c>
      <c r="S60" s="462">
        <v>251</v>
      </c>
      <c r="T60" s="473">
        <f t="shared" si="12"/>
        <v>1173</v>
      </c>
      <c r="U60" s="487">
        <f t="shared" si="13"/>
        <v>0</v>
      </c>
      <c r="V60" s="438"/>
    </row>
    <row r="61" spans="1:22" x14ac:dyDescent="0.25">
      <c r="A61" s="607"/>
      <c r="B61" s="607"/>
      <c r="C61" s="143">
        <v>2.0099999999999998</v>
      </c>
      <c r="D61" s="143">
        <v>3.02</v>
      </c>
      <c r="E61" s="116">
        <f t="shared" si="10"/>
        <v>5.0299999999999994</v>
      </c>
      <c r="F61" s="457" t="s">
        <v>13</v>
      </c>
      <c r="G61" s="456">
        <v>252</v>
      </c>
      <c r="H61" s="470">
        <f>'1461'!H61</f>
        <v>3506</v>
      </c>
      <c r="I61" s="101">
        <f t="shared" si="11"/>
        <v>17635.18</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32.659999999999997</v>
      </c>
      <c r="D66" s="97">
        <f>SUM(D57:D65)</f>
        <v>29.529999999999998</v>
      </c>
      <c r="E66" s="97">
        <f>SUM(E57:E65)</f>
        <v>62.19</v>
      </c>
      <c r="F66" s="608" t="s">
        <v>471</v>
      </c>
      <c r="G66" s="608"/>
      <c r="H66" s="608"/>
      <c r="I66" s="97">
        <f>SUM(I57:I65)</f>
        <v>83574.799999999988</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532.64</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2.6280000000000001E-3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574.13080000000002</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2.5170000000000001E-3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532.64</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2.8530000000000001E-3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532.64</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2.6319999999999998E-3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532.64</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2.8579999999999999E-3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2.6319999999999998E-3</v>
      </c>
      <c r="I85" s="101">
        <f>ROUND(F85*H85,2)</f>
        <v>117130.96</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2.6280000000000001E-3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2.8579999999999999E-3</v>
      </c>
      <c r="I90" s="101">
        <f>ROUND(F90*H90,2)</f>
        <v>46611.6</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2.8530000000000001E-3</v>
      </c>
      <c r="I92" s="101">
        <f t="shared" ref="I92:I96" si="14">ROUND(F92*H92,2)</f>
        <v>28954.11</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2.5170000000000001E-3</v>
      </c>
      <c r="I94" s="101">
        <f t="shared" si="14"/>
        <v>601557.15</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2.5170000000000001E-3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2.6280000000000001E-3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278.79259999999999</v>
      </c>
      <c r="D104" s="614"/>
      <c r="E104" s="46">
        <f>H8</f>
        <v>1.0442</v>
      </c>
      <c r="F104" s="302">
        <f>'1461'!F104</f>
        <v>947.59</v>
      </c>
      <c r="G104" s="39" t="s">
        <v>12</v>
      </c>
      <c r="H104" s="101">
        <f>ROUND(C104*E104*F104,2)</f>
        <v>275857.88</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295.33820000000003</v>
      </c>
      <c r="D105" s="614"/>
      <c r="E105" s="46">
        <f>H8</f>
        <v>1.0442</v>
      </c>
      <c r="F105" s="302">
        <f>'1461'!F105</f>
        <v>904.74</v>
      </c>
      <c r="G105" s="39" t="s">
        <v>12</v>
      </c>
      <c r="H105" s="101">
        <f>ROUND(C105*E105*F105,2)</f>
        <v>279014.71000000002</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574.13080000000002</v>
      </c>
      <c r="D107" s="604"/>
      <c r="E107" s="123"/>
      <c r="F107" s="123"/>
      <c r="G107" s="123"/>
      <c r="H107" s="124" t="s">
        <v>100</v>
      </c>
      <c r="I107" s="101">
        <f>IF(A1=75,0,H106+H105+H104)</f>
        <v>554872.59000000008</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41"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v>
      </c>
      <c r="D113" s="143">
        <v>0</v>
      </c>
      <c r="E113" s="116">
        <f>(C113+D113)/2</f>
        <v>1</v>
      </c>
      <c r="F113" s="126" t="s">
        <v>30</v>
      </c>
      <c r="G113" s="303">
        <f>'1461'!G113</f>
        <v>536</v>
      </c>
      <c r="I113" s="101">
        <f>ROUND(G113*E113,2)</f>
        <v>536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4514543.2799999993</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4354950.0199999996</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4354950.0199999996</v>
      </c>
      <c r="I135" s="94">
        <f>ROUND(IF(E30=0,0,IF(E30&gt;250,-(((250/E30)*H135)*IF(G135="H",0.02,0.05)),IF(G135="H",-0.02*H135,-0.05*H135))),2)</f>
        <v>-102202</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4412341.2799999993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Payments'!Q110</f>
        <v>-4410208.2600000007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6">
        <f>I137+I139</f>
        <v>2133.0199999986216</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2133.02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115545.5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workbookViewId="0">
      <selection activeCell="E29" sqref="E29"/>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584" t="s">
        <v>15</v>
      </c>
      <c r="C1" s="585"/>
      <c r="D1" s="585"/>
      <c r="E1" s="585"/>
      <c r="F1" s="585"/>
      <c r="G1" s="585"/>
      <c r="H1" s="585"/>
      <c r="I1" s="585"/>
    </row>
    <row r="2" spans="1:9" ht="21" x14ac:dyDescent="0.35">
      <c r="A2" s="1" t="s">
        <v>254</v>
      </c>
      <c r="B2" s="2"/>
      <c r="C2" s="2"/>
      <c r="D2" s="2"/>
      <c r="E2" s="2"/>
      <c r="F2" s="2"/>
      <c r="G2" s="2"/>
      <c r="H2" s="2"/>
      <c r="I2" s="2"/>
    </row>
    <row r="3" spans="1:9" x14ac:dyDescent="0.25">
      <c r="A3" s="81" t="str">
        <f>'1461'!A3</f>
        <v>Based on the FLDOE 2023-24 FEFP Final Calculation</v>
      </c>
    </row>
    <row r="4" spans="1:9" x14ac:dyDescent="0.25">
      <c r="A4" s="586" t="s">
        <v>0</v>
      </c>
      <c r="B4" s="586"/>
      <c r="C4" s="587" t="s">
        <v>9</v>
      </c>
      <c r="D4" s="587"/>
      <c r="E4" s="587"/>
      <c r="F4" s="553" t="s">
        <v>539</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88" t="str">
        <f>'1461'!A7:I7</f>
        <v>1A.   2023-24 FEFP State and Local Funding</v>
      </c>
      <c r="B7" s="588"/>
      <c r="C7" s="588"/>
      <c r="D7" s="588"/>
      <c r="E7" s="588"/>
      <c r="F7" s="588"/>
      <c r="G7" s="588"/>
      <c r="H7" s="588"/>
      <c r="I7" s="588"/>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414</v>
      </c>
      <c r="H9" s="223">
        <f>'1461'!H9</f>
        <v>1</v>
      </c>
      <c r="I9" s="75"/>
    </row>
    <row r="10" spans="1:9" x14ac:dyDescent="0.25">
      <c r="A10" s="7"/>
      <c r="B10" s="7"/>
      <c r="C10" s="8"/>
      <c r="D10" s="8"/>
      <c r="E10" s="8"/>
      <c r="F10" s="9"/>
      <c r="G10" s="9"/>
      <c r="H10" s="10"/>
      <c r="I10" s="381" t="str">
        <f>'1461'!I10</f>
        <v>2023-24</v>
      </c>
    </row>
    <row r="11" spans="1:9" x14ac:dyDescent="0.25">
      <c r="A11" s="7"/>
      <c r="B11" s="7"/>
      <c r="C11" s="88" t="str">
        <f>'1461'!C11</f>
        <v>Oct 2023</v>
      </c>
      <c r="D11" s="88" t="str">
        <f>'1461'!D11</f>
        <v>Feb 2024</v>
      </c>
      <c r="E11" s="89" t="s">
        <v>8</v>
      </c>
      <c r="F11" s="589" t="s">
        <v>1</v>
      </c>
      <c r="G11" s="589"/>
      <c r="H11" s="10" t="s">
        <v>60</v>
      </c>
      <c r="I11" s="11" t="s">
        <v>27</v>
      </c>
    </row>
    <row r="12" spans="1:9" x14ac:dyDescent="0.25">
      <c r="A12" s="590" t="s">
        <v>1</v>
      </c>
      <c r="B12" s="590"/>
      <c r="C12" s="449" t="str">
        <f>'1461'!C12</f>
        <v>FTE</v>
      </c>
      <c r="D12" s="449" t="str">
        <f>'1461'!D12</f>
        <v>FTE</v>
      </c>
      <c r="E12" s="90" t="s">
        <v>2</v>
      </c>
      <c r="F12" s="591" t="s">
        <v>63</v>
      </c>
      <c r="G12" s="591"/>
      <c r="H12" s="17" t="s">
        <v>59</v>
      </c>
      <c r="I12" s="402" t="s">
        <v>418</v>
      </c>
    </row>
    <row r="13" spans="1:9" x14ac:dyDescent="0.25">
      <c r="A13" s="592" t="s">
        <v>36</v>
      </c>
      <c r="B13" s="592"/>
      <c r="C13" s="91"/>
      <c r="D13" s="91"/>
      <c r="E13" s="92" t="s">
        <v>37</v>
      </c>
      <c r="F13" s="593" t="s">
        <v>38</v>
      </c>
      <c r="G13" s="593"/>
      <c r="H13" s="20" t="s">
        <v>39</v>
      </c>
      <c r="I13" s="21" t="s">
        <v>40</v>
      </c>
    </row>
    <row r="14" spans="1:9" x14ac:dyDescent="0.25">
      <c r="A14" s="594" t="s">
        <v>20</v>
      </c>
      <c r="B14" s="594"/>
      <c r="C14" s="141">
        <f>SUM('1461:4131'!C14)</f>
        <v>2228.2500000000005</v>
      </c>
      <c r="D14" s="141">
        <f>SUM('1461:4131'!D14)</f>
        <v>2181.0300000000002</v>
      </c>
      <c r="E14" s="187">
        <f>SUM('1461:4131'!E14)</f>
        <v>4409.28</v>
      </c>
      <c r="F14" s="595">
        <f>'1461'!F14:G14</f>
        <v>1.1220000000000001</v>
      </c>
      <c r="G14" s="595"/>
      <c r="H14" s="145">
        <f>SUM('1461:4131'!H14)</f>
        <v>4947.2120999999997</v>
      </c>
      <c r="I14" s="111">
        <f>SUM('1461:4131'!I14)</f>
        <v>26551222.609999999</v>
      </c>
    </row>
    <row r="15" spans="1:9" x14ac:dyDescent="0.25">
      <c r="A15" s="596" t="s">
        <v>21</v>
      </c>
      <c r="B15" s="596"/>
      <c r="C15" s="143">
        <f>SUM('1461:4131'!C15)</f>
        <v>293.82</v>
      </c>
      <c r="D15" s="143">
        <f>SUM('1461:4131'!D15)</f>
        <v>310.19999999999993</v>
      </c>
      <c r="E15" s="116">
        <f>SUM('1461:4131'!E15)</f>
        <v>604.02</v>
      </c>
      <c r="F15" s="597">
        <f>'1461'!F15:G15</f>
        <v>1.1220000000000001</v>
      </c>
      <c r="G15" s="597"/>
      <c r="H15" s="80">
        <f>SUM('1461:4131'!H15)</f>
        <v>677.71050000000014</v>
      </c>
      <c r="I15" s="101">
        <f>SUM('1461:4131'!I15)</f>
        <v>3637208.5900000003</v>
      </c>
    </row>
    <row r="16" spans="1:9" x14ac:dyDescent="0.25">
      <c r="A16" s="596" t="s">
        <v>22</v>
      </c>
      <c r="B16" s="596"/>
      <c r="C16" s="143">
        <f>SUM('1461:4131'!C16)</f>
        <v>3476.8799999999997</v>
      </c>
      <c r="D16" s="143">
        <f>SUM('1461:4131'!D16)</f>
        <v>3472.3</v>
      </c>
      <c r="E16" s="116">
        <f>SUM('1461:4131'!E16)</f>
        <v>6949.18</v>
      </c>
      <c r="F16" s="597">
        <f>'1461'!F16:G16</f>
        <v>1</v>
      </c>
      <c r="G16" s="597"/>
      <c r="H16" s="80">
        <f>SUM('1461:4131'!H16)</f>
        <v>6949.18</v>
      </c>
      <c r="I16" s="101">
        <f>SUM('1461:4131'!I16)</f>
        <v>37295596.300000004</v>
      </c>
    </row>
    <row r="17" spans="1:9" x14ac:dyDescent="0.25">
      <c r="A17" s="596" t="s">
        <v>23</v>
      </c>
      <c r="B17" s="596"/>
      <c r="C17" s="143">
        <f>SUM('1461:4131'!C17)</f>
        <v>621.34</v>
      </c>
      <c r="D17" s="143">
        <f>SUM('1461:4131'!D17)</f>
        <v>615.69000000000017</v>
      </c>
      <c r="E17" s="116">
        <f>SUM('1461:4131'!E17)</f>
        <v>1237.0299999999997</v>
      </c>
      <c r="F17" s="597">
        <f>'1461'!F17:G17</f>
        <v>1</v>
      </c>
      <c r="G17" s="597"/>
      <c r="H17" s="80">
        <f>SUM('1461:4131'!H17)</f>
        <v>1237.0299999999997</v>
      </c>
      <c r="I17" s="101">
        <f>SUM('1461:4131'!I17)</f>
        <v>6639023.7999999989</v>
      </c>
    </row>
    <row r="18" spans="1:9" x14ac:dyDescent="0.25">
      <c r="A18" s="596" t="s">
        <v>24</v>
      </c>
      <c r="B18" s="596"/>
      <c r="C18" s="143">
        <f>SUM('1461:4131'!C18)</f>
        <v>2220.3000000000002</v>
      </c>
      <c r="D18" s="143">
        <f>SUM('1461:4131'!D18)</f>
        <v>2291.5100000000002</v>
      </c>
      <c r="E18" s="116">
        <f>SUM('1461:4131'!E18)</f>
        <v>4511.8099999999995</v>
      </c>
      <c r="F18" s="597">
        <f>'1461'!F18:G18</f>
        <v>0.98799999999999999</v>
      </c>
      <c r="G18" s="597"/>
      <c r="H18" s="80">
        <f>SUM('1461:4131'!H18)</f>
        <v>4457.6681999999992</v>
      </c>
      <c r="I18" s="101">
        <f>SUM('1461:4131'!I18)</f>
        <v>23923886.509999998</v>
      </c>
    </row>
    <row r="19" spans="1:9" x14ac:dyDescent="0.25">
      <c r="A19" s="596" t="s">
        <v>25</v>
      </c>
      <c r="B19" s="596"/>
      <c r="C19" s="143">
        <f>SUM('1461:4131'!C19)</f>
        <v>581.00999999999988</v>
      </c>
      <c r="D19" s="143">
        <f>SUM('1461:4131'!D19)</f>
        <v>595.85</v>
      </c>
      <c r="E19" s="116">
        <f>SUM('1461:4131'!E19)</f>
        <v>1176.8599999999999</v>
      </c>
      <c r="F19" s="597">
        <f>'1461'!F19:G19</f>
        <v>0.98799999999999999</v>
      </c>
      <c r="G19" s="597"/>
      <c r="H19" s="80">
        <f>SUM('1461:4131'!H19)</f>
        <v>1162.7376999999999</v>
      </c>
      <c r="I19" s="101">
        <f>SUM('1461:4131'!I19)</f>
        <v>6240304.0199999996</v>
      </c>
    </row>
    <row r="20" spans="1:9" x14ac:dyDescent="0.25">
      <c r="A20" s="596" t="s">
        <v>79</v>
      </c>
      <c r="B20" s="596"/>
      <c r="C20" s="143">
        <f>SUM('1461:4131'!C20)</f>
        <v>85.13</v>
      </c>
      <c r="D20" s="143">
        <f>SUM('1461:4131'!D20)</f>
        <v>85.600000000000009</v>
      </c>
      <c r="E20" s="116">
        <f>SUM('1461:4131'!E20)</f>
        <v>170.73000000000002</v>
      </c>
      <c r="F20" s="597">
        <f>'1461'!F20:G20</f>
        <v>3.706</v>
      </c>
      <c r="G20" s="597"/>
      <c r="H20" s="80">
        <f>SUM('1461:4131'!H20)</f>
        <v>632.72529999999995</v>
      </c>
      <c r="I20" s="101">
        <f>SUM('1461:4131'!I20)</f>
        <v>3395777.25</v>
      </c>
    </row>
    <row r="21" spans="1:9" x14ac:dyDescent="0.25">
      <c r="A21" s="596" t="s">
        <v>80</v>
      </c>
      <c r="B21" s="596"/>
      <c r="C21" s="143">
        <f>SUM('1461:4131'!C21)</f>
        <v>70.11</v>
      </c>
      <c r="D21" s="143">
        <f>SUM('1461:4131'!D21)</f>
        <v>77.239999999999995</v>
      </c>
      <c r="E21" s="116">
        <f>SUM('1461:4131'!E21)</f>
        <v>147.34999999999997</v>
      </c>
      <c r="F21" s="597">
        <f>'1461'!F21:G21</f>
        <v>3.706</v>
      </c>
      <c r="G21" s="597"/>
      <c r="H21" s="80">
        <f>SUM('1461:4131'!H21)</f>
        <v>546.07909999999993</v>
      </c>
      <c r="I21" s="101">
        <f>SUM('1461:4131'!I21)</f>
        <v>2930755.23</v>
      </c>
    </row>
    <row r="22" spans="1:9" x14ac:dyDescent="0.25">
      <c r="A22" s="596" t="s">
        <v>81</v>
      </c>
      <c r="B22" s="596"/>
      <c r="C22" s="143">
        <f>SUM('1461:4131'!C22)</f>
        <v>61.269999999999996</v>
      </c>
      <c r="D22" s="143">
        <f>SUM('1461:4131'!D22)</f>
        <v>52.18</v>
      </c>
      <c r="E22" s="116">
        <f>SUM('1461:4131'!E22)</f>
        <v>113.45</v>
      </c>
      <c r="F22" s="597">
        <f>'1461'!F22:G22</f>
        <v>3.706</v>
      </c>
      <c r="G22" s="597"/>
      <c r="H22" s="80">
        <f>SUM('1461:4131'!H22)</f>
        <v>420.44569999999999</v>
      </c>
      <c r="I22" s="101">
        <f>SUM('1461:4131'!I22)</f>
        <v>2256492.58</v>
      </c>
    </row>
    <row r="23" spans="1:9" x14ac:dyDescent="0.25">
      <c r="A23" s="596" t="s">
        <v>82</v>
      </c>
      <c r="B23" s="596"/>
      <c r="C23" s="143">
        <f>SUM('1461:4131'!C23)</f>
        <v>24.52</v>
      </c>
      <c r="D23" s="143">
        <f>SUM('1461:4131'!D23)</f>
        <v>39.019999999999996</v>
      </c>
      <c r="E23" s="116">
        <f>SUM('1461:4131'!E23)</f>
        <v>63.540000000000006</v>
      </c>
      <c r="F23" s="597">
        <f>'1461'!F23:G23</f>
        <v>5.7069999999999999</v>
      </c>
      <c r="G23" s="597"/>
      <c r="H23" s="80">
        <f>SUM('1461:4131'!H23)</f>
        <v>362.62289999999996</v>
      </c>
      <c r="I23" s="101">
        <f>SUM('1461:4131'!I23)</f>
        <v>1946163.04</v>
      </c>
    </row>
    <row r="24" spans="1:9" x14ac:dyDescent="0.25">
      <c r="A24" s="596" t="s">
        <v>83</v>
      </c>
      <c r="B24" s="596"/>
      <c r="C24" s="143">
        <f>SUM('1461:4131'!C24)</f>
        <v>41.510000000000005</v>
      </c>
      <c r="D24" s="143">
        <f>SUM('1461:4131'!D24)</f>
        <v>44.04</v>
      </c>
      <c r="E24" s="116">
        <f>SUM('1461:4131'!E24)</f>
        <v>85.549999999999983</v>
      </c>
      <c r="F24" s="597">
        <f>'1461'!F24:G24</f>
        <v>5.7069999999999999</v>
      </c>
      <c r="G24" s="597"/>
      <c r="H24" s="80">
        <f>SUM('1461:4131'!H24)</f>
        <v>488.23390000000001</v>
      </c>
      <c r="I24" s="101">
        <f>SUM('1461:4131'!I24)</f>
        <v>2620305.4799999995</v>
      </c>
    </row>
    <row r="25" spans="1:9" x14ac:dyDescent="0.25">
      <c r="A25" s="596" t="s">
        <v>84</v>
      </c>
      <c r="B25" s="596"/>
      <c r="C25" s="143">
        <f>SUM('1461:4131'!C25)</f>
        <v>44.98</v>
      </c>
      <c r="D25" s="143">
        <f>SUM('1461:4131'!D25)</f>
        <v>46.48</v>
      </c>
      <c r="E25" s="116">
        <f>SUM('1461:4131'!E25)</f>
        <v>91.46</v>
      </c>
      <c r="F25" s="597">
        <f>'1461'!F25:G25</f>
        <v>5.7069999999999999</v>
      </c>
      <c r="G25" s="597"/>
      <c r="H25" s="80">
        <f>SUM('1461:4131'!H25)</f>
        <v>521.96220000000005</v>
      </c>
      <c r="I25" s="101">
        <f>SUM('1461:4131'!I25)</f>
        <v>2801322.09</v>
      </c>
    </row>
    <row r="26" spans="1:9" x14ac:dyDescent="0.25">
      <c r="A26" s="596" t="s">
        <v>85</v>
      </c>
      <c r="B26" s="596"/>
      <c r="C26" s="143">
        <f>SUM('1461:4131'!C26)</f>
        <v>526.84</v>
      </c>
      <c r="D26" s="143">
        <f>SUM('1461:4131'!D26)</f>
        <v>528.30999999999995</v>
      </c>
      <c r="E26" s="116">
        <f>SUM('1461:4131'!E26)</f>
        <v>1055.1499999999999</v>
      </c>
      <c r="F26" s="597">
        <f>'1461'!F26:G26</f>
        <v>1.208</v>
      </c>
      <c r="G26" s="597"/>
      <c r="H26" s="80">
        <f>SUM('1461:4131'!H26)</f>
        <v>1274.6212</v>
      </c>
      <c r="I26" s="101">
        <f>SUM('1461:4131'!I26)</f>
        <v>6840772.25</v>
      </c>
    </row>
    <row r="27" spans="1:9" x14ac:dyDescent="0.25">
      <c r="A27" s="596" t="s">
        <v>86</v>
      </c>
      <c r="B27" s="596"/>
      <c r="C27" s="143">
        <f>SUM('1461:4131'!C27)</f>
        <v>329.49999999999994</v>
      </c>
      <c r="D27" s="143">
        <f>SUM('1461:4131'!D27)</f>
        <v>317.5800000000001</v>
      </c>
      <c r="E27" s="116">
        <f>SUM('1461:4131'!E27)</f>
        <v>647.08000000000015</v>
      </c>
      <c r="F27" s="597">
        <f>'1461'!F27:G27</f>
        <v>1.208</v>
      </c>
      <c r="G27" s="597"/>
      <c r="H27" s="80">
        <f>SUM('1461:4131'!H27)</f>
        <v>781.67240000000015</v>
      </c>
      <c r="I27" s="101">
        <f>SUM('1461:4131'!I27)</f>
        <v>4195162.3499999996</v>
      </c>
    </row>
    <row r="28" spans="1:9" x14ac:dyDescent="0.25">
      <c r="A28" s="596" t="s">
        <v>87</v>
      </c>
      <c r="B28" s="596"/>
      <c r="C28" s="143">
        <f>SUM('1461:4131'!C28)</f>
        <v>141.29999999999998</v>
      </c>
      <c r="D28" s="143">
        <f>SUM('1461:4131'!D28)</f>
        <v>145.18</v>
      </c>
      <c r="E28" s="116">
        <f>SUM('1461:4131'!E28)</f>
        <v>286.48</v>
      </c>
      <c r="F28" s="597">
        <f>'1461'!F28:G28</f>
        <v>1.208</v>
      </c>
      <c r="G28" s="597"/>
      <c r="H28" s="80">
        <f>SUM('1461:4131'!H28)</f>
        <v>346.06779999999998</v>
      </c>
      <c r="I28" s="101">
        <f>SUM('1461:4131'!I28)</f>
        <v>1857313.3599999996</v>
      </c>
    </row>
    <row r="29" spans="1:9" x14ac:dyDescent="0.25">
      <c r="A29" s="596" t="s">
        <v>88</v>
      </c>
      <c r="B29" s="596"/>
      <c r="C29" s="110">
        <f>SUM('1461:4131'!C29)</f>
        <v>291.95</v>
      </c>
      <c r="D29" s="110">
        <f>SUM('1461:4131'!D29)</f>
        <v>303.27</v>
      </c>
      <c r="E29" s="154">
        <f>SUM('1461:4131'!E29)</f>
        <v>595.22</v>
      </c>
      <c r="F29" s="597">
        <f>'1461'!F29:G29</f>
        <v>1.0720000000000001</v>
      </c>
      <c r="G29" s="597"/>
      <c r="H29" s="93">
        <f>SUM('1461:4131'!H29)</f>
        <v>638.07580000000007</v>
      </c>
      <c r="I29" s="94">
        <f>SUM('1461:4131'!I29)</f>
        <v>3424492.879999999</v>
      </c>
    </row>
    <row r="30" spans="1:9" x14ac:dyDescent="0.25">
      <c r="A30" s="598" t="s">
        <v>154</v>
      </c>
      <c r="B30" s="599"/>
      <c r="C30" s="111">
        <f>SUM(C14:C29)</f>
        <v>11038.710000000001</v>
      </c>
      <c r="D30" s="111">
        <f>SUM(D14:D29)</f>
        <v>11105.480000000003</v>
      </c>
      <c r="E30" s="187">
        <f>SUM(E14:E29)</f>
        <v>22144.190000000002</v>
      </c>
      <c r="F30" s="600"/>
      <c r="G30" s="600"/>
      <c r="H30" s="145">
        <f>SUM(H14:H29)</f>
        <v>25444.0448</v>
      </c>
      <c r="I30" s="111">
        <f>SUM(I14:I29)</f>
        <v>136555798.34</v>
      </c>
    </row>
    <row r="31" spans="1:9" x14ac:dyDescent="0.25">
      <c r="A31" s="81" t="s">
        <v>155</v>
      </c>
      <c r="B31" s="156"/>
      <c r="C31" s="143">
        <f>Virtual!E22</f>
        <v>0</v>
      </c>
      <c r="D31" s="143">
        <f>Virtual!E23</f>
        <v>0</v>
      </c>
      <c r="E31" s="116">
        <f>IF(D$30=0,C31*2,C31+D31)</f>
        <v>0</v>
      </c>
      <c r="F31" s="597">
        <v>0.7</v>
      </c>
      <c r="G31" s="597"/>
      <c r="H31" s="80">
        <f t="shared" ref="H31" si="0">ROUND(E31*F31,4)</f>
        <v>0</v>
      </c>
      <c r="I31" s="101">
        <f>Virtual!E28</f>
        <v>0</v>
      </c>
    </row>
    <row r="32" spans="1:9" x14ac:dyDescent="0.25">
      <c r="A32" s="598" t="s">
        <v>156</v>
      </c>
      <c r="B32" s="599"/>
      <c r="C32" s="97">
        <f>SUM(C30:C31)</f>
        <v>11038.710000000001</v>
      </c>
      <c r="D32" s="97">
        <f>SUM(D30:D31)</f>
        <v>11105.480000000003</v>
      </c>
      <c r="E32" s="97">
        <f>SUM(E30:E31)</f>
        <v>22144.190000000002</v>
      </c>
      <c r="F32" s="27"/>
      <c r="G32" s="27"/>
      <c r="H32" s="80"/>
      <c r="I32" s="97">
        <f>SUM(I30:I31)</f>
        <v>136555798.34</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503"/>
      <c r="C35" s="101"/>
      <c r="D35" s="101"/>
      <c r="E35" s="101"/>
      <c r="F35" s="498"/>
      <c r="G35" s="498"/>
      <c r="H35" s="80"/>
      <c r="I35" s="101"/>
    </row>
    <row r="36" spans="1:9" hidden="1" x14ac:dyDescent="0.25">
      <c r="A36" s="3"/>
      <c r="B36" s="69"/>
      <c r="C36" s="69"/>
      <c r="D36" s="69"/>
      <c r="E36" s="69"/>
      <c r="F36" s="69"/>
      <c r="G36" s="69"/>
      <c r="H36" s="69"/>
      <c r="I36" s="336" t="s">
        <v>322</v>
      </c>
    </row>
    <row r="37" spans="1:9" hidden="1" x14ac:dyDescent="0.25">
      <c r="A37" s="26"/>
      <c r="B37" s="26"/>
      <c r="C37" s="88" t="str">
        <f>C11</f>
        <v>Oct 2023</v>
      </c>
      <c r="D37" s="88" t="str">
        <f>D11</f>
        <v>Feb 2024</v>
      </c>
      <c r="E37" s="89" t="s">
        <v>8</v>
      </c>
      <c r="F37" s="27"/>
      <c r="G37" s="27"/>
      <c r="H37" s="104"/>
      <c r="I37" s="24" t="s">
        <v>27</v>
      </c>
    </row>
    <row r="38" spans="1:9" hidden="1" x14ac:dyDescent="0.25">
      <c r="A38" s="590" t="s">
        <v>50</v>
      </c>
      <c r="B38" s="590"/>
      <c r="C38" s="339" t="s">
        <v>2</v>
      </c>
      <c r="D38" s="339" t="s">
        <v>2</v>
      </c>
      <c r="E38" s="90" t="s">
        <v>2</v>
      </c>
      <c r="F38" s="105"/>
      <c r="G38" s="105"/>
      <c r="H38" s="105"/>
      <c r="I38" s="31" t="s">
        <v>62</v>
      </c>
    </row>
    <row r="39" spans="1:9" hidden="1" x14ac:dyDescent="0.25">
      <c r="A39" s="594" t="s">
        <v>45</v>
      </c>
      <c r="B39" s="594"/>
      <c r="C39" s="147">
        <f>SUM('1461:4111'!C38)</f>
        <v>0</v>
      </c>
      <c r="D39" s="147">
        <f>SUM('1461:4111'!D38)</f>
        <v>0</v>
      </c>
      <c r="E39" s="187">
        <f>SUM('1461:4111'!E38)</f>
        <v>0</v>
      </c>
      <c r="F39" s="148"/>
      <c r="G39" s="148"/>
      <c r="H39" s="148"/>
      <c r="I39" s="111">
        <f>SUM('1461:4111'!I38)</f>
        <v>0</v>
      </c>
    </row>
    <row r="40" spans="1:9" hidden="1" x14ac:dyDescent="0.25">
      <c r="A40" s="596" t="s">
        <v>46</v>
      </c>
      <c r="B40" s="596"/>
      <c r="C40" s="150">
        <f>SUM('1461:4111'!C39)</f>
        <v>0</v>
      </c>
      <c r="D40" s="150">
        <f>SUM('1461:4111'!D39)</f>
        <v>0</v>
      </c>
      <c r="E40" s="116">
        <f>SUM('1461:4111'!E39)</f>
        <v>0</v>
      </c>
      <c r="F40" s="151"/>
      <c r="G40" s="151"/>
      <c r="H40" s="151"/>
      <c r="I40" s="101">
        <f>SUM('1461:4111'!I39)</f>
        <v>0</v>
      </c>
    </row>
    <row r="41" spans="1:9" hidden="1" x14ac:dyDescent="0.25">
      <c r="A41" s="601" t="s">
        <v>47</v>
      </c>
      <c r="B41" s="601"/>
      <c r="C41" s="150">
        <f>SUM('1461:4111'!C40)</f>
        <v>0</v>
      </c>
      <c r="D41" s="150">
        <f>SUM('1461:4111'!D40)</f>
        <v>0</v>
      </c>
      <c r="E41" s="116">
        <f>SUM('1461:4111'!E40)</f>
        <v>0</v>
      </c>
      <c r="F41" s="151"/>
      <c r="G41" s="151"/>
      <c r="H41" s="151"/>
      <c r="I41" s="101">
        <f>SUM('1461:4111'!I40)</f>
        <v>0</v>
      </c>
    </row>
    <row r="42" spans="1:9" hidden="1" x14ac:dyDescent="0.25">
      <c r="A42" s="596" t="s">
        <v>48</v>
      </c>
      <c r="B42" s="596"/>
      <c r="C42" s="150">
        <f>SUM('1461:4111'!C41)</f>
        <v>0</v>
      </c>
      <c r="D42" s="150">
        <f>SUM('1461:4111'!D41)</f>
        <v>0</v>
      </c>
      <c r="E42" s="116">
        <f>SUM('1461:4111'!E41)</f>
        <v>0</v>
      </c>
      <c r="F42" s="151"/>
      <c r="G42" s="151"/>
      <c r="H42" s="151"/>
      <c r="I42" s="101">
        <f>SUM('1461:4111'!I41)</f>
        <v>0</v>
      </c>
    </row>
    <row r="43" spans="1:9" hidden="1" x14ac:dyDescent="0.25">
      <c r="A43" s="596" t="s">
        <v>49</v>
      </c>
      <c r="B43" s="596"/>
      <c r="C43" s="150">
        <f>SUM('1461:4111'!C42)</f>
        <v>0</v>
      </c>
      <c r="D43" s="150">
        <f>SUM('1461:4111'!D42)</f>
        <v>0</v>
      </c>
      <c r="E43" s="116">
        <f>SUM('1461:4111'!E42)</f>
        <v>0</v>
      </c>
      <c r="F43" s="151"/>
      <c r="G43" s="151"/>
      <c r="H43" s="151"/>
      <c r="I43" s="101">
        <f>SUM('1461:4111'!I42)</f>
        <v>0</v>
      </c>
    </row>
    <row r="44" spans="1:9" hidden="1" x14ac:dyDescent="0.25">
      <c r="A44" s="596" t="s">
        <v>41</v>
      </c>
      <c r="B44" s="596"/>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25444.0448</v>
      </c>
      <c r="F47" s="34"/>
      <c r="G47" s="106"/>
      <c r="H47" s="107" t="s">
        <v>98</v>
      </c>
      <c r="I47" s="94">
        <f>SUM(I45,I32)</f>
        <v>136555798.34</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419</v>
      </c>
      <c r="B50" s="26"/>
      <c r="C50" s="26"/>
      <c r="D50" s="26"/>
      <c r="E50" s="26"/>
      <c r="F50" s="34"/>
      <c r="G50" s="27"/>
      <c r="H50" s="27"/>
      <c r="I50" s="101"/>
    </row>
    <row r="51" spans="1:9" s="405" customFormat="1" ht="9" customHeight="1" x14ac:dyDescent="0.2">
      <c r="A51" s="404" t="s">
        <v>420</v>
      </c>
      <c r="F51" s="406"/>
      <c r="G51" s="407"/>
      <c r="H51" s="407"/>
      <c r="I51" s="408"/>
    </row>
    <row r="52" spans="1:9" s="405" customFormat="1" ht="11.25" customHeight="1" x14ac:dyDescent="0.2">
      <c r="A52" s="412" t="s">
        <v>421</v>
      </c>
      <c r="F52" s="406"/>
      <c r="G52" s="407"/>
      <c r="H52" s="407"/>
      <c r="I52" s="408"/>
    </row>
    <row r="53" spans="1:9" x14ac:dyDescent="0.25">
      <c r="A53" s="403"/>
      <c r="B53" s="3" t="s">
        <v>422</v>
      </c>
      <c r="C53" s="26"/>
      <c r="D53" s="26"/>
      <c r="E53" s="43" t="s">
        <v>423</v>
      </c>
      <c r="F53" s="414">
        <f>SUM('1461:4131'!F51)</f>
        <v>138020956.18999997</v>
      </c>
      <c r="G53" s="109" t="s">
        <v>6</v>
      </c>
      <c r="H53" s="415">
        <f>'1461'!H51</f>
        <v>4.5199999999999997E-2</v>
      </c>
      <c r="I53" s="101">
        <f>SUM('1461:4131'!I51)</f>
        <v>6238547.2299999995</v>
      </c>
    </row>
    <row r="54" spans="1:9" x14ac:dyDescent="0.25">
      <c r="A54" s="26"/>
      <c r="B54" s="81" t="s">
        <v>424</v>
      </c>
      <c r="C54" s="26"/>
      <c r="D54" s="26"/>
      <c r="E54" s="43" t="s">
        <v>423</v>
      </c>
      <c r="F54" s="414">
        <f>SUM('1461:4131'!F52)</f>
        <v>138020956.18999997</v>
      </c>
      <c r="G54" s="109" t="s">
        <v>6</v>
      </c>
      <c r="H54" s="415">
        <f>'1461'!H52</f>
        <v>1.41E-2</v>
      </c>
      <c r="I54" s="94">
        <f>SUM('1461:4131'!I52)</f>
        <v>1946095.4699999997</v>
      </c>
    </row>
    <row r="55" spans="1:9" x14ac:dyDescent="0.25">
      <c r="A55" s="26"/>
      <c r="B55" s="81" t="s">
        <v>425</v>
      </c>
      <c r="C55" s="26"/>
      <c r="D55" s="26"/>
      <c r="E55" s="43"/>
      <c r="F55" s="414"/>
      <c r="G55" s="109"/>
      <c r="H55" s="415"/>
      <c r="I55" s="97">
        <f>SUM(I53:I54)</f>
        <v>8184642.6999999993</v>
      </c>
    </row>
    <row r="56" spans="1:9" x14ac:dyDescent="0.25">
      <c r="A56" s="26"/>
      <c r="B56" s="26"/>
      <c r="C56" s="26"/>
      <c r="D56" s="26"/>
      <c r="E56" s="26"/>
      <c r="F56" s="34"/>
      <c r="G56" s="27"/>
      <c r="H56" s="27"/>
      <c r="I56" s="101"/>
    </row>
    <row r="57" spans="1:9" x14ac:dyDescent="0.25">
      <c r="A57" s="503"/>
      <c r="B57" s="503"/>
      <c r="C57" s="88" t="str">
        <f>C11</f>
        <v>Oct 2023</v>
      </c>
      <c r="D57" s="348" t="str">
        <f t="shared" ref="D57:D58" si="1">D11</f>
        <v>Feb 2024</v>
      </c>
      <c r="E57" s="89" t="s">
        <v>8</v>
      </c>
      <c r="F57" s="46" t="s">
        <v>463</v>
      </c>
      <c r="G57" s="109" t="s">
        <v>464</v>
      </c>
      <c r="H57" s="467" t="s">
        <v>465</v>
      </c>
      <c r="I57" s="101"/>
    </row>
    <row r="58" spans="1:9" x14ac:dyDescent="0.25">
      <c r="A58" s="36" t="s">
        <v>466</v>
      </c>
      <c r="B58" s="36"/>
      <c r="C58" s="339" t="str">
        <f t="shared" ref="C58" si="2">C12</f>
        <v>FTE</v>
      </c>
      <c r="D58" s="339" t="str">
        <f t="shared" si="1"/>
        <v>FTE</v>
      </c>
      <c r="E58" s="90" t="s">
        <v>2</v>
      </c>
      <c r="F58" s="496" t="s">
        <v>467</v>
      </c>
      <c r="G58" s="499" t="s">
        <v>467</v>
      </c>
      <c r="H58" s="468" t="s">
        <v>468</v>
      </c>
      <c r="I58" s="36"/>
    </row>
    <row r="59" spans="1:9" ht="15.75" customHeight="1" x14ac:dyDescent="0.25">
      <c r="A59" s="606" t="s">
        <v>470</v>
      </c>
      <c r="B59" s="606"/>
      <c r="C59" s="143">
        <f>SUM('1461:4131'!C57)</f>
        <v>244.80999999999997</v>
      </c>
      <c r="D59" s="143">
        <f>SUM('1461:4131'!D57)</f>
        <v>252.46000000000004</v>
      </c>
      <c r="E59" s="116">
        <f>SUM('1461:4131'!E57)</f>
        <v>497.27</v>
      </c>
      <c r="F59" s="501" t="s">
        <v>462</v>
      </c>
      <c r="G59" s="501">
        <v>251</v>
      </c>
      <c r="H59" s="470">
        <f>'1461'!H57</f>
        <v>1047</v>
      </c>
      <c r="I59" s="101">
        <f>SUM('1461:4131'!I57)</f>
        <v>520641.68999999994</v>
      </c>
    </row>
    <row r="60" spans="1:9" x14ac:dyDescent="0.25">
      <c r="A60" s="607"/>
      <c r="B60" s="607"/>
      <c r="C60" s="143">
        <f>SUM('1461:4131'!C58)</f>
        <v>39.519999999999996</v>
      </c>
      <c r="D60" s="143">
        <f>SUM('1461:4131'!D58)</f>
        <v>47.719999999999992</v>
      </c>
      <c r="E60" s="116">
        <f>SUM('1461:4131'!E58)</f>
        <v>87.24</v>
      </c>
      <c r="F60" s="501" t="s">
        <v>462</v>
      </c>
      <c r="G60" s="501">
        <v>252</v>
      </c>
      <c r="H60" s="470">
        <f>'1461'!H58</f>
        <v>3380</v>
      </c>
      <c r="I60" s="101">
        <f>SUM('1461:4131'!I58)</f>
        <v>294871.19999999995</v>
      </c>
    </row>
    <row r="61" spans="1:9" x14ac:dyDescent="0.25">
      <c r="A61" s="607"/>
      <c r="B61" s="607"/>
      <c r="C61" s="143">
        <f>SUM('1461:4131'!C59)</f>
        <v>9.49</v>
      </c>
      <c r="D61" s="143">
        <f>SUM('1461:4131'!D59)</f>
        <v>10.02</v>
      </c>
      <c r="E61" s="116">
        <f>SUM('1461:4131'!E59)</f>
        <v>19.510000000000002</v>
      </c>
      <c r="F61" s="501" t="s">
        <v>462</v>
      </c>
      <c r="G61" s="501">
        <v>253</v>
      </c>
      <c r="H61" s="470">
        <f>'1461'!H59</f>
        <v>6896</v>
      </c>
      <c r="I61" s="101">
        <f>SUM('1461:4131'!I59)</f>
        <v>134540.96000000002</v>
      </c>
    </row>
    <row r="62" spans="1:9" x14ac:dyDescent="0.25">
      <c r="A62" s="607"/>
      <c r="B62" s="607"/>
      <c r="C62" s="143">
        <f>SUM('1461:4131'!C60)</f>
        <v>558.33000000000004</v>
      </c>
      <c r="D62" s="143">
        <f>SUM('1461:4131'!D60)</f>
        <v>547.91999999999996</v>
      </c>
      <c r="E62" s="116">
        <f>SUM('1461:4131'!E60)</f>
        <v>1106.2499999999998</v>
      </c>
      <c r="F62" s="502" t="s">
        <v>13</v>
      </c>
      <c r="G62" s="501">
        <v>251</v>
      </c>
      <c r="H62" s="470">
        <f>'1461'!H60</f>
        <v>1173</v>
      </c>
      <c r="I62" s="101">
        <f>SUM('1461:4131'!I60)</f>
        <v>1297631.25</v>
      </c>
    </row>
    <row r="63" spans="1:9" x14ac:dyDescent="0.25">
      <c r="A63" s="607"/>
      <c r="B63" s="607"/>
      <c r="C63" s="143">
        <f>SUM('1461:4131'!C61)</f>
        <v>51.01</v>
      </c>
      <c r="D63" s="143">
        <f>SUM('1461:4131'!D61)</f>
        <v>53.389999999999993</v>
      </c>
      <c r="E63" s="116">
        <f>SUM('1461:4131'!E61)</f>
        <v>104.39999999999998</v>
      </c>
      <c r="F63" s="502" t="s">
        <v>13</v>
      </c>
      <c r="G63" s="501">
        <v>252</v>
      </c>
      <c r="H63" s="470">
        <f>'1461'!H61</f>
        <v>3506</v>
      </c>
      <c r="I63" s="101">
        <f>SUM('1461:4131'!I61)</f>
        <v>366026.4</v>
      </c>
    </row>
    <row r="64" spans="1:9" x14ac:dyDescent="0.25">
      <c r="A64" s="607"/>
      <c r="B64" s="607"/>
      <c r="C64" s="143">
        <f>SUM('1461:4131'!C62)</f>
        <v>12</v>
      </c>
      <c r="D64" s="143">
        <f>SUM('1461:4131'!D62)</f>
        <v>14.38</v>
      </c>
      <c r="E64" s="116">
        <f>SUM('1461:4131'!E62)</f>
        <v>26.38</v>
      </c>
      <c r="F64" s="502" t="s">
        <v>13</v>
      </c>
      <c r="G64" s="501">
        <v>253</v>
      </c>
      <c r="H64" s="470">
        <f>'1461'!H62</f>
        <v>7023</v>
      </c>
      <c r="I64" s="101">
        <f>SUM('1461:4131'!I62)</f>
        <v>185266.74000000002</v>
      </c>
    </row>
    <row r="65" spans="1:9" x14ac:dyDescent="0.25">
      <c r="A65" s="607"/>
      <c r="B65" s="607"/>
      <c r="C65" s="143">
        <f>SUM('1461:4131'!C63)</f>
        <v>404.84000000000003</v>
      </c>
      <c r="D65" s="143">
        <f>SUM('1461:4131'!D63)</f>
        <v>414.12000000000006</v>
      </c>
      <c r="E65" s="116">
        <f>SUM('1461:4131'!E63)</f>
        <v>818.96000000000015</v>
      </c>
      <c r="F65" s="502" t="s">
        <v>14</v>
      </c>
      <c r="G65" s="501">
        <v>251</v>
      </c>
      <c r="H65" s="470">
        <f>'1461'!H63</f>
        <v>835</v>
      </c>
      <c r="I65" s="101">
        <f>SUM('1461:4131'!I63)</f>
        <v>683831.6</v>
      </c>
    </row>
    <row r="66" spans="1:9" x14ac:dyDescent="0.25">
      <c r="A66" s="607"/>
      <c r="B66" s="607"/>
      <c r="C66" s="143">
        <f>SUM('1461:4131'!C64)</f>
        <v>63.419999999999995</v>
      </c>
      <c r="D66" s="143">
        <f>SUM('1461:4131'!D64)</f>
        <v>63.550000000000004</v>
      </c>
      <c r="E66" s="116">
        <f>SUM('1461:4131'!E64)</f>
        <v>126.97000000000001</v>
      </c>
      <c r="F66" s="502" t="s">
        <v>14</v>
      </c>
      <c r="G66" s="501">
        <v>252</v>
      </c>
      <c r="H66" s="470">
        <f>'1461'!H64</f>
        <v>3168</v>
      </c>
      <c r="I66" s="101">
        <f>SUM('1461:4131'!I64)</f>
        <v>402240.96</v>
      </c>
    </row>
    <row r="67" spans="1:9" x14ac:dyDescent="0.25">
      <c r="A67" s="607"/>
      <c r="B67" s="607"/>
      <c r="C67" s="143">
        <f>SUM('1461:4131'!C65)</f>
        <v>112.74999999999999</v>
      </c>
      <c r="D67" s="143">
        <f>SUM('1461:4131'!D65)</f>
        <v>118.18</v>
      </c>
      <c r="E67" s="116">
        <f>SUM('1461:4131'!E65)</f>
        <v>230.93</v>
      </c>
      <c r="F67" s="502" t="s">
        <v>14</v>
      </c>
      <c r="G67" s="501">
        <v>253</v>
      </c>
      <c r="H67" s="470">
        <f>'1461'!H65</f>
        <v>6685</v>
      </c>
      <c r="I67" s="101">
        <f>SUM('1461:4131'!I65)</f>
        <v>1543767.05</v>
      </c>
    </row>
    <row r="68" spans="1:9" x14ac:dyDescent="0.25">
      <c r="A68" s="497"/>
      <c r="C68" s="97">
        <f>SUM(C59:C67)</f>
        <v>1496.17</v>
      </c>
      <c r="D68" s="97">
        <f>SUM(D59:D67)</f>
        <v>1521.74</v>
      </c>
      <c r="E68" s="97">
        <f>SUM(E59:E67)</f>
        <v>3017.9099999999994</v>
      </c>
      <c r="F68" s="608" t="s">
        <v>471</v>
      </c>
      <c r="G68" s="608"/>
      <c r="H68" s="608"/>
      <c r="I68" s="97">
        <f>SUM(I59:I67)</f>
        <v>5428817.8499999996</v>
      </c>
    </row>
    <row r="69" spans="1:9" x14ac:dyDescent="0.25">
      <c r="A69" s="503"/>
      <c r="B69" s="503"/>
      <c r="C69" s="552"/>
      <c r="D69" s="503"/>
      <c r="E69" s="503"/>
      <c r="F69" s="34"/>
      <c r="G69" s="498"/>
      <c r="H69" s="498"/>
      <c r="I69" s="101"/>
    </row>
    <row r="70" spans="1:9" x14ac:dyDescent="0.25">
      <c r="A70" s="500" t="s">
        <v>473</v>
      </c>
    </row>
    <row r="71" spans="1:9" x14ac:dyDescent="0.25">
      <c r="A71" s="602" t="s">
        <v>426</v>
      </c>
      <c r="B71" s="596"/>
      <c r="C71" s="112">
        <f>SUM('1461:4131'!C69)</f>
        <v>22144.189999999995</v>
      </c>
      <c r="D71" s="583" t="s">
        <v>437</v>
      </c>
      <c r="E71" s="583"/>
      <c r="F71" s="583"/>
      <c r="G71" s="583"/>
      <c r="H71" s="287">
        <f>'1461'!H69</f>
        <v>202683.97</v>
      </c>
      <c r="I71" s="113"/>
    </row>
    <row r="72" spans="1:9" x14ac:dyDescent="0.25">
      <c r="B72" s="69"/>
      <c r="G72" s="42" t="s">
        <v>12</v>
      </c>
      <c r="H72" s="114">
        <f>ROUND(C71/H71,6)</f>
        <v>0.109255</v>
      </c>
      <c r="I72" s="115"/>
    </row>
    <row r="73" spans="1:9" x14ac:dyDescent="0.25">
      <c r="A73" s="500" t="s">
        <v>474</v>
      </c>
    </row>
    <row r="74" spans="1:9" x14ac:dyDescent="0.25">
      <c r="A74" s="602" t="s">
        <v>427</v>
      </c>
      <c r="B74" s="596"/>
      <c r="C74" s="427">
        <f>SUM('1461:4131'!C72)</f>
        <v>25444.044799999996</v>
      </c>
      <c r="D74" s="583" t="s">
        <v>438</v>
      </c>
      <c r="E74" s="583"/>
      <c r="F74" s="583"/>
      <c r="G74" s="583"/>
      <c r="H74" s="288">
        <f>'1461'!H72</f>
        <v>228068.32</v>
      </c>
      <c r="I74" s="116"/>
    </row>
    <row r="75" spans="1:9" x14ac:dyDescent="0.25">
      <c r="G75" s="42" t="s">
        <v>12</v>
      </c>
      <c r="H75" s="114">
        <f>ROUND(C74/H74,6)</f>
        <v>0.111563</v>
      </c>
      <c r="I75" s="114"/>
    </row>
    <row r="76" spans="1:9" x14ac:dyDescent="0.25">
      <c r="A76" s="431" t="s">
        <v>475</v>
      </c>
      <c r="B76" s="428"/>
      <c r="C76" s="428"/>
      <c r="D76" s="428"/>
      <c r="E76" s="428"/>
      <c r="F76" s="428"/>
      <c r="G76" s="428"/>
      <c r="H76" s="428"/>
      <c r="I76" s="428"/>
    </row>
    <row r="77" spans="1:9" x14ac:dyDescent="0.25">
      <c r="A77" s="602" t="s">
        <v>428</v>
      </c>
      <c r="B77" s="596"/>
      <c r="C77" s="112">
        <f>SUM('1461:4131'!C75)</f>
        <v>22144.189999999995</v>
      </c>
      <c r="D77" s="575" t="s">
        <v>439</v>
      </c>
      <c r="E77" s="575"/>
      <c r="F77" s="575"/>
      <c r="G77" s="575"/>
      <c r="H77" s="287">
        <f>'1461'!H75</f>
        <v>186715.72</v>
      </c>
      <c r="I77" s="113"/>
    </row>
    <row r="78" spans="1:9" x14ac:dyDescent="0.25">
      <c r="B78" s="69"/>
      <c r="G78" s="42" t="s">
        <v>12</v>
      </c>
      <c r="H78" s="114">
        <f>ROUND(C77/H77,6)</f>
        <v>0.118598</v>
      </c>
      <c r="I78" s="115"/>
    </row>
    <row r="79" spans="1:9" x14ac:dyDescent="0.25">
      <c r="A79" s="431" t="s">
        <v>476</v>
      </c>
      <c r="B79" s="428"/>
      <c r="C79" s="428"/>
      <c r="D79" s="428"/>
      <c r="E79" s="428"/>
      <c r="F79" s="428"/>
      <c r="G79" s="428"/>
      <c r="H79" s="428"/>
      <c r="I79" s="428"/>
    </row>
    <row r="80" spans="1:9" x14ac:dyDescent="0.25">
      <c r="A80" s="602" t="s">
        <v>428</v>
      </c>
      <c r="B80" s="596"/>
      <c r="C80" s="112">
        <f>SUM('1461:4131'!C78)</f>
        <v>22144.189999999995</v>
      </c>
      <c r="D80" s="603" t="s">
        <v>440</v>
      </c>
      <c r="E80" s="603"/>
      <c r="F80" s="603"/>
      <c r="G80" s="603"/>
      <c r="H80" s="287">
        <f>'1461'!H78</f>
        <v>202339.94</v>
      </c>
      <c r="I80" s="113"/>
    </row>
    <row r="81" spans="1:11" x14ac:dyDescent="0.25">
      <c r="B81" s="69"/>
      <c r="G81" s="42" t="s">
        <v>12</v>
      </c>
      <c r="H81" s="114">
        <f>ROUND(C80/H80,6)</f>
        <v>0.109441</v>
      </c>
      <c r="I81" s="115"/>
    </row>
    <row r="82" spans="1:11" x14ac:dyDescent="0.25">
      <c r="A82" s="431" t="s">
        <v>477</v>
      </c>
      <c r="B82" s="428"/>
      <c r="C82" s="428"/>
      <c r="D82" s="428"/>
      <c r="E82" s="428"/>
      <c r="F82" s="428"/>
      <c r="G82" s="428"/>
      <c r="H82" s="428"/>
      <c r="I82" s="428"/>
    </row>
    <row r="83" spans="1:11" x14ac:dyDescent="0.25">
      <c r="A83" s="602" t="s">
        <v>436</v>
      </c>
      <c r="B83" s="596"/>
      <c r="C83" s="112">
        <f>SUM('1461:4131'!C81)</f>
        <v>22144.189999999995</v>
      </c>
      <c r="D83" s="575" t="s">
        <v>441</v>
      </c>
      <c r="E83" s="575"/>
      <c r="F83" s="575"/>
      <c r="G83" s="575"/>
      <c r="H83" s="287">
        <f>'1461'!H81</f>
        <v>186371.69</v>
      </c>
      <c r="I83" s="113"/>
    </row>
    <row r="84" spans="1:11" x14ac:dyDescent="0.25">
      <c r="B84" s="69"/>
      <c r="G84" s="42" t="s">
        <v>12</v>
      </c>
      <c r="H84" s="114">
        <f>ROUND(C83/H83,6)</f>
        <v>0.11881700000000001</v>
      </c>
      <c r="I84" s="115"/>
    </row>
    <row r="85" spans="1:11" x14ac:dyDescent="0.25">
      <c r="A85" s="242"/>
      <c r="G85" s="42"/>
      <c r="H85" s="114"/>
      <c r="I85" s="114"/>
    </row>
    <row r="86" spans="1:11" x14ac:dyDescent="0.25">
      <c r="A86" s="500" t="s">
        <v>478</v>
      </c>
      <c r="D86" s="69"/>
      <c r="E86" s="43" t="s">
        <v>317</v>
      </c>
      <c r="F86" s="289">
        <f>'1461'!F85</f>
        <v>44502646</v>
      </c>
      <c r="G86" s="37" t="s">
        <v>6</v>
      </c>
      <c r="H86" s="436">
        <f>H81</f>
        <v>0.109441</v>
      </c>
      <c r="I86" s="101">
        <f>SUM('1461:4131'!I85)</f>
        <v>4870369.6100000003</v>
      </c>
      <c r="K86" s="237"/>
    </row>
    <row r="87" spans="1:11" x14ac:dyDescent="0.25">
      <c r="A87" s="413"/>
      <c r="D87" s="69"/>
      <c r="E87" s="43"/>
      <c r="F87" s="275"/>
      <c r="G87" s="37"/>
      <c r="H87" s="436"/>
      <c r="I87" s="101"/>
    </row>
    <row r="88" spans="1:11" x14ac:dyDescent="0.25">
      <c r="A88" s="605" t="s">
        <v>71</v>
      </c>
      <c r="B88" s="596"/>
      <c r="C88" s="596"/>
      <c r="D88" s="69"/>
      <c r="E88" s="43"/>
      <c r="F88" s="275"/>
      <c r="G88" s="37"/>
      <c r="H88" s="436"/>
      <c r="I88" s="101"/>
    </row>
    <row r="89" spans="1:11" ht="15.75" customHeight="1" x14ac:dyDescent="0.25">
      <c r="A89" s="605" t="s">
        <v>99</v>
      </c>
      <c r="B89" s="596"/>
      <c r="C89" s="596"/>
      <c r="D89" s="69"/>
      <c r="E89" s="43" t="s">
        <v>3</v>
      </c>
      <c r="F89" s="289">
        <f>'1461'!F88</f>
        <v>0</v>
      </c>
      <c r="G89" s="37" t="s">
        <v>6</v>
      </c>
      <c r="H89" s="436">
        <f>H72</f>
        <v>0.109255</v>
      </c>
      <c r="I89" s="101">
        <f>SUM('1461:4131'!I88)</f>
        <v>0</v>
      </c>
    </row>
    <row r="90" spans="1:11" ht="15.75" customHeight="1" x14ac:dyDescent="0.25">
      <c r="A90" s="445"/>
      <c r="B90" s="69"/>
      <c r="C90" s="69"/>
      <c r="D90" s="69"/>
      <c r="E90" s="43"/>
      <c r="F90" s="275"/>
      <c r="G90" s="37"/>
      <c r="H90" s="436"/>
      <c r="I90" s="101"/>
    </row>
    <row r="91" spans="1:11" x14ac:dyDescent="0.25">
      <c r="A91" s="500" t="s">
        <v>479</v>
      </c>
      <c r="D91" s="69"/>
      <c r="E91" s="43" t="s">
        <v>444</v>
      </c>
      <c r="F91" s="289">
        <f>'1461'!F90</f>
        <v>16309168</v>
      </c>
      <c r="G91" s="37" t="s">
        <v>6</v>
      </c>
      <c r="H91" s="436">
        <f>H84</f>
        <v>0.11881700000000001</v>
      </c>
      <c r="I91" s="101">
        <f>SUM('1461:4131'!I90)</f>
        <v>1937855.3400000003</v>
      </c>
    </row>
    <row r="92" spans="1:11" x14ac:dyDescent="0.25">
      <c r="A92" s="413"/>
      <c r="D92" s="69"/>
      <c r="E92" s="43"/>
      <c r="F92" s="275"/>
      <c r="G92" s="37"/>
      <c r="H92" s="436"/>
      <c r="I92" s="101"/>
    </row>
    <row r="93" spans="1:11" x14ac:dyDescent="0.25">
      <c r="A93" s="500" t="s">
        <v>480</v>
      </c>
      <c r="D93" s="69"/>
      <c r="E93" s="43" t="s">
        <v>3</v>
      </c>
      <c r="F93" s="289">
        <f>'1461'!F92</f>
        <v>10148654</v>
      </c>
      <c r="G93" s="37" t="s">
        <v>6</v>
      </c>
      <c r="H93" s="436">
        <f>H78</f>
        <v>0.118598</v>
      </c>
      <c r="I93" s="101">
        <f>SUM('1461:4131'!I92)</f>
        <v>1203620.21</v>
      </c>
    </row>
    <row r="94" spans="1:11" x14ac:dyDescent="0.25">
      <c r="A94" s="81"/>
      <c r="D94" s="69"/>
      <c r="E94" s="43"/>
      <c r="F94" s="116"/>
      <c r="G94" s="37"/>
      <c r="H94" s="432"/>
      <c r="I94" s="101"/>
    </row>
    <row r="95" spans="1:11" x14ac:dyDescent="0.25">
      <c r="A95" s="602" t="s">
        <v>445</v>
      </c>
      <c r="B95" s="596"/>
      <c r="C95" s="596"/>
      <c r="D95" s="69"/>
      <c r="E95" s="43" t="s">
        <v>4</v>
      </c>
      <c r="F95" s="289">
        <f>'1461'!F94</f>
        <v>238997674</v>
      </c>
      <c r="G95" s="37" t="s">
        <v>6</v>
      </c>
      <c r="H95" s="436">
        <f>H75</f>
        <v>0.111563</v>
      </c>
      <c r="I95" s="101">
        <f>SUM('1461:4131'!I94)</f>
        <v>26662819.500000004</v>
      </c>
    </row>
    <row r="96" spans="1:11" x14ac:dyDescent="0.25">
      <c r="A96" s="81"/>
      <c r="B96" s="69"/>
      <c r="C96" s="69"/>
      <c r="D96" s="69"/>
      <c r="E96" s="43"/>
      <c r="F96" s="275"/>
      <c r="G96" s="37"/>
      <c r="H96" s="436"/>
      <c r="I96" s="101"/>
    </row>
    <row r="97" spans="1:9" x14ac:dyDescent="0.25">
      <c r="A97" s="602" t="s">
        <v>446</v>
      </c>
      <c r="B97" s="596"/>
      <c r="C97" s="596"/>
      <c r="D97" s="69"/>
      <c r="E97" s="43" t="s">
        <v>4</v>
      </c>
      <c r="F97" s="289">
        <f>'1461'!F96</f>
        <v>0</v>
      </c>
      <c r="G97" s="37" t="s">
        <v>6</v>
      </c>
      <c r="H97" s="436">
        <f>H75</f>
        <v>0.111563</v>
      </c>
      <c r="I97" s="101">
        <f>SUM('1461:4131'!I96)</f>
        <v>0</v>
      </c>
    </row>
    <row r="98" spans="1:9" x14ac:dyDescent="0.25">
      <c r="A98" s="81"/>
      <c r="B98" s="69"/>
      <c r="C98" s="69"/>
      <c r="D98" s="69"/>
      <c r="E98" s="43"/>
      <c r="F98" s="275"/>
      <c r="G98" s="37"/>
      <c r="H98" s="436"/>
      <c r="I98" s="101"/>
    </row>
    <row r="99" spans="1:9" x14ac:dyDescent="0.25">
      <c r="A99" s="413" t="s">
        <v>447</v>
      </c>
    </row>
    <row r="100" spans="1:9" x14ac:dyDescent="0.25">
      <c r="B100" s="69"/>
      <c r="C100" s="581" t="s">
        <v>60</v>
      </c>
      <c r="D100" s="581"/>
      <c r="E100" s="69"/>
      <c r="F100" s="39" t="s">
        <v>28</v>
      </c>
      <c r="G100" s="69"/>
      <c r="H100" s="69"/>
      <c r="I100" s="69"/>
    </row>
    <row r="101" spans="1:9" x14ac:dyDescent="0.25">
      <c r="A101" s="3"/>
      <c r="B101" s="118"/>
      <c r="C101" s="582" t="s">
        <v>101</v>
      </c>
      <c r="D101" s="582"/>
      <c r="E101" s="119" t="s">
        <v>448</v>
      </c>
      <c r="F101" s="120" t="s">
        <v>106</v>
      </c>
      <c r="G101" s="121"/>
      <c r="H101" s="121"/>
      <c r="I101" s="121"/>
    </row>
    <row r="102" spans="1:9" x14ac:dyDescent="0.25">
      <c r="A102" s="26"/>
      <c r="B102" s="52" t="s">
        <v>105</v>
      </c>
      <c r="C102" s="614">
        <f>SUM('1461:4131'!C104)</f>
        <v>7894.8919999999989</v>
      </c>
      <c r="D102" s="614">
        <f>SUM('1461:4131'!D101)</f>
        <v>0</v>
      </c>
      <c r="E102" s="46">
        <f>'1461'!E104</f>
        <v>1.0442</v>
      </c>
      <c r="F102" s="290">
        <f>'1461'!F104</f>
        <v>947.59</v>
      </c>
      <c r="G102" s="39" t="s">
        <v>12</v>
      </c>
      <c r="H102" s="101">
        <f>SUM('1461:4131'!H104)</f>
        <v>7811786.2399999984</v>
      </c>
      <c r="I102" s="104"/>
    </row>
    <row r="103" spans="1:9" x14ac:dyDescent="0.25">
      <c r="A103" s="49"/>
      <c r="B103" s="49" t="s">
        <v>104</v>
      </c>
      <c r="C103" s="614">
        <f>SUM('1461:4131'!C105)</f>
        <v>10002.195400000001</v>
      </c>
      <c r="D103" s="614">
        <f>SUM('1461:4131'!D102)</f>
        <v>0</v>
      </c>
      <c r="E103" s="46">
        <f>'1461'!E105</f>
        <v>1.0442</v>
      </c>
      <c r="F103" s="290">
        <f>'1461'!F105</f>
        <v>904.74</v>
      </c>
      <c r="G103" s="39" t="s">
        <v>12</v>
      </c>
      <c r="H103" s="101">
        <f>SUM('1461:4131'!H105)</f>
        <v>9449369.1199999992</v>
      </c>
    </row>
    <row r="104" spans="1:9" x14ac:dyDescent="0.25">
      <c r="A104" s="52"/>
      <c r="B104" s="52" t="s">
        <v>103</v>
      </c>
      <c r="C104" s="614">
        <f>SUM('1461:4131'!C106)</f>
        <v>7546.9573999999993</v>
      </c>
      <c r="D104" s="614">
        <f>SUM('1461:4131'!D103)</f>
        <v>0</v>
      </c>
      <c r="E104" s="46">
        <f>'1461'!E106</f>
        <v>1.0442</v>
      </c>
      <c r="F104" s="290">
        <f>'1461'!F106</f>
        <v>906.93</v>
      </c>
      <c r="G104" s="39" t="s">
        <v>12</v>
      </c>
      <c r="H104" s="94">
        <f>SUM('1461:4131'!H106)</f>
        <v>7147091.7000000011</v>
      </c>
    </row>
    <row r="105" spans="1:9" ht="16.5" thickBot="1" x14ac:dyDescent="0.3">
      <c r="A105" s="55"/>
      <c r="B105" s="122" t="s">
        <v>102</v>
      </c>
      <c r="C105" s="604">
        <f>SUM(C102:C104)</f>
        <v>25444.0448</v>
      </c>
      <c r="D105" s="604"/>
      <c r="E105" s="123"/>
      <c r="F105" s="123"/>
      <c r="G105" s="123"/>
      <c r="H105" s="124" t="s">
        <v>100</v>
      </c>
      <c r="I105" s="101">
        <f>SUM('1461:4131'!I107)</f>
        <v>24408247.060000002</v>
      </c>
    </row>
    <row r="106" spans="1:9" ht="16.5" thickTop="1" x14ac:dyDescent="0.25">
      <c r="A106" s="573" t="s">
        <v>65</v>
      </c>
      <c r="B106" s="573"/>
      <c r="C106" s="573"/>
      <c r="D106" s="573"/>
      <c r="E106" s="573"/>
      <c r="F106" s="573"/>
      <c r="G106" s="573"/>
      <c r="H106" s="573"/>
      <c r="I106" s="573"/>
    </row>
    <row r="107" spans="1:9" x14ac:dyDescent="0.25">
      <c r="A107" s="446"/>
      <c r="B107" s="446"/>
      <c r="C107" s="446"/>
      <c r="D107" s="446"/>
      <c r="E107" s="446"/>
      <c r="F107" s="446"/>
      <c r="G107" s="446"/>
      <c r="H107" s="446"/>
      <c r="I107" s="446"/>
    </row>
    <row r="108" spans="1:9" x14ac:dyDescent="0.25">
      <c r="A108" s="81" t="s">
        <v>452</v>
      </c>
      <c r="C108" s="43"/>
      <c r="D108" s="69"/>
      <c r="E108" s="43" t="s">
        <v>32</v>
      </c>
      <c r="F108" s="574"/>
      <c r="G108" s="574"/>
      <c r="H108" s="574"/>
      <c r="I108" s="574"/>
    </row>
    <row r="109" spans="1:9" x14ac:dyDescent="0.25">
      <c r="B109" s="69"/>
      <c r="C109" s="88" t="s">
        <v>380</v>
      </c>
      <c r="D109" s="348" t="s">
        <v>381</v>
      </c>
      <c r="E109" s="89" t="s">
        <v>107</v>
      </c>
      <c r="F109" s="43"/>
      <c r="G109" s="43"/>
      <c r="H109" s="43"/>
      <c r="I109" s="43"/>
    </row>
    <row r="110" spans="1:9" x14ac:dyDescent="0.25">
      <c r="B110" s="69"/>
      <c r="C110" s="339" t="s">
        <v>2</v>
      </c>
      <c r="D110" s="339" t="s">
        <v>2</v>
      </c>
      <c r="E110" s="90" t="s">
        <v>2</v>
      </c>
      <c r="F110" s="43"/>
      <c r="G110" s="43"/>
      <c r="H110" s="43"/>
      <c r="I110" s="43"/>
    </row>
    <row r="111" spans="1:9" x14ac:dyDescent="0.25">
      <c r="A111" s="575" t="s">
        <v>403</v>
      </c>
      <c r="B111" s="576"/>
      <c r="C111" s="143">
        <f>SUM('1461:4131'!C113)</f>
        <v>4411</v>
      </c>
      <c r="D111" s="143">
        <f>SUM('1461:4131'!D113)</f>
        <v>4433</v>
      </c>
      <c r="E111" s="116">
        <f>SUM('1461:4131'!E113)</f>
        <v>4422</v>
      </c>
      <c r="F111" s="126" t="s">
        <v>30</v>
      </c>
      <c r="G111" s="291">
        <f>'1461'!G113</f>
        <v>536</v>
      </c>
      <c r="I111" s="101">
        <f>SUM('1461:4131'!I113)</f>
        <v>2370192</v>
      </c>
    </row>
    <row r="112" spans="1:9" x14ac:dyDescent="0.25">
      <c r="A112" s="575" t="s">
        <v>404</v>
      </c>
      <c r="B112" s="576"/>
      <c r="C112" s="143">
        <f>SUM('1461:4131'!C114)</f>
        <v>4</v>
      </c>
      <c r="D112" s="143">
        <f>SUM('1461:4131'!D114)</f>
        <v>1</v>
      </c>
      <c r="E112" s="116">
        <f>SUM('1461:4131'!E114)</f>
        <v>2.5</v>
      </c>
      <c r="F112" s="126" t="s">
        <v>30</v>
      </c>
      <c r="G112" s="291">
        <f>'1461'!G114</f>
        <v>1760</v>
      </c>
      <c r="I112" s="101">
        <f>SUM('1461:4131'!I114)</f>
        <v>4400</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602" t="s">
        <v>453</v>
      </c>
      <c r="B115" s="596"/>
      <c r="C115" s="596"/>
      <c r="D115" s="69"/>
      <c r="E115" s="39" t="s">
        <v>318</v>
      </c>
      <c r="F115" s="581"/>
      <c r="G115" s="581"/>
      <c r="H115" s="581"/>
      <c r="I115" s="581"/>
    </row>
    <row r="116" spans="1:10" hidden="1" x14ac:dyDescent="0.25">
      <c r="B116" s="69"/>
      <c r="C116" s="582" t="s">
        <v>66</v>
      </c>
      <c r="D116" s="582"/>
      <c r="E116" s="582"/>
      <c r="F116" s="37"/>
      <c r="G116" s="37"/>
      <c r="H116" s="39" t="s">
        <v>108</v>
      </c>
      <c r="I116" s="37"/>
    </row>
    <row r="117" spans="1:10" hidden="1" x14ac:dyDescent="0.25">
      <c r="B117" s="69"/>
      <c r="C117" s="88" t="str">
        <f>C109</f>
        <v>Oct 2022</v>
      </c>
      <c r="D117" s="88" t="str">
        <f>D109</f>
        <v>Feb 2023</v>
      </c>
      <c r="E117" s="137" t="s">
        <v>8</v>
      </c>
      <c r="F117" s="583" t="s">
        <v>109</v>
      </c>
      <c r="G117" s="581"/>
      <c r="H117" s="37" t="s">
        <v>29</v>
      </c>
      <c r="I117" s="37"/>
    </row>
    <row r="118" spans="1:10" ht="15.75" hidden="1" customHeight="1" x14ac:dyDescent="0.25">
      <c r="A118" s="582" t="s">
        <v>69</v>
      </c>
      <c r="B118" s="582"/>
      <c r="C118" s="90" t="s">
        <v>2</v>
      </c>
      <c r="D118" s="90" t="s">
        <v>2</v>
      </c>
      <c r="E118" s="59" t="s">
        <v>2</v>
      </c>
      <c r="F118" s="582" t="s">
        <v>28</v>
      </c>
      <c r="G118" s="582"/>
      <c r="H118" s="59" t="s">
        <v>28</v>
      </c>
      <c r="I118" s="59" t="s">
        <v>8</v>
      </c>
    </row>
    <row r="119" spans="1:10" ht="15.75" hidden="1" customHeight="1" x14ac:dyDescent="0.25">
      <c r="A119" s="579" t="s">
        <v>56</v>
      </c>
      <c r="B119" s="579"/>
      <c r="C119" s="141">
        <v>0</v>
      </c>
      <c r="D119" s="141">
        <v>0</v>
      </c>
      <c r="E119" s="187">
        <f>IF(D31=0,C119*2,C119+D119)</f>
        <v>0</v>
      </c>
      <c r="F119" s="580">
        <v>0</v>
      </c>
      <c r="G119" s="580"/>
      <c r="H119" s="224">
        <f>IF(C119=0,0,125)</f>
        <v>0</v>
      </c>
      <c r="I119" s="101">
        <f>ROUND((H119+F119)*E119,2)</f>
        <v>0</v>
      </c>
    </row>
    <row r="120" spans="1:10" ht="15.75" hidden="1" customHeight="1" x14ac:dyDescent="0.25">
      <c r="A120" s="599" t="s">
        <v>57</v>
      </c>
      <c r="B120" s="599"/>
      <c r="C120" s="143">
        <v>0</v>
      </c>
      <c r="D120" s="143">
        <v>0</v>
      </c>
      <c r="E120" s="116">
        <f>IF(D32=0,C120*2,C120+D120)</f>
        <v>0</v>
      </c>
      <c r="F120" s="616">
        <f>ROUND(F119/2,2)</f>
        <v>0</v>
      </c>
      <c r="G120" s="616"/>
      <c r="H120" s="224">
        <f>IF(C120=0,0,62.5)</f>
        <v>0</v>
      </c>
      <c r="I120" s="101">
        <f>ROUND((H120+F120)*E120,2)</f>
        <v>0</v>
      </c>
    </row>
    <row r="121" spans="1:10" ht="15.75" hidden="1" customHeight="1" x14ac:dyDescent="0.25">
      <c r="A121" s="599" t="s">
        <v>58</v>
      </c>
      <c r="B121" s="599"/>
      <c r="C121" s="143">
        <v>0</v>
      </c>
      <c r="D121" s="143">
        <v>0</v>
      </c>
      <c r="E121" s="116">
        <f>IF(D33=0,C121*2,C121+D121)</f>
        <v>0</v>
      </c>
      <c r="F121" s="617"/>
      <c r="G121" s="617"/>
      <c r="H121" s="225">
        <f>IF(H119&gt;0,436,0)</f>
        <v>0</v>
      </c>
      <c r="I121" s="101">
        <f>ROUND(H121*E121,2)</f>
        <v>0</v>
      </c>
    </row>
    <row r="122" spans="1:10" ht="16.5" hidden="1" customHeight="1" x14ac:dyDescent="0.25">
      <c r="A122" s="581" t="s">
        <v>8</v>
      </c>
      <c r="B122" s="581"/>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602" t="s">
        <v>455</v>
      </c>
      <c r="B124" s="596"/>
      <c r="C124" s="596"/>
      <c r="D124" s="69"/>
      <c r="E124" s="68" t="s">
        <v>34</v>
      </c>
      <c r="F124" s="615"/>
      <c r="G124" s="615"/>
      <c r="H124" s="615"/>
      <c r="I124" s="154">
        <f>SUM('1461:4131'!I126)</f>
        <v>0</v>
      </c>
    </row>
    <row r="125" spans="1:10" x14ac:dyDescent="0.25">
      <c r="B125" s="69"/>
      <c r="C125" s="69"/>
      <c r="D125" s="69"/>
      <c r="E125" s="68"/>
      <c r="F125" s="68"/>
      <c r="G125" s="68"/>
      <c r="H125" s="68"/>
      <c r="I125" s="116"/>
    </row>
    <row r="126" spans="1:10" x14ac:dyDescent="0.25">
      <c r="A126" s="608" t="s">
        <v>8</v>
      </c>
      <c r="B126" s="608"/>
      <c r="C126" s="608"/>
      <c r="D126" s="608"/>
      <c r="E126" s="608"/>
      <c r="F126" s="608"/>
      <c r="G126" s="608"/>
      <c r="H126" s="608"/>
      <c r="I126" s="94">
        <f>SUM('1461:4131'!I128)</f>
        <v>203442119.91000003</v>
      </c>
      <c r="J126" s="251"/>
    </row>
    <row r="127" spans="1:10" x14ac:dyDescent="0.25">
      <c r="A127" s="26"/>
      <c r="B127" s="26"/>
      <c r="C127" s="26"/>
      <c r="D127" s="26"/>
      <c r="E127" s="26"/>
      <c r="F127" s="26"/>
      <c r="G127" s="26"/>
      <c r="H127" s="26"/>
      <c r="I127" s="101"/>
      <c r="J127" s="251"/>
    </row>
    <row r="128" spans="1:10" x14ac:dyDescent="0.25">
      <c r="A128" s="81" t="s">
        <v>487</v>
      </c>
      <c r="B128" s="26"/>
      <c r="C128" s="26"/>
      <c r="D128" s="26"/>
      <c r="E128" s="26"/>
      <c r="F128" s="26"/>
      <c r="G128" s="26"/>
      <c r="H128" s="26"/>
      <c r="I128" s="101">
        <f>SUM('1461:4131'!I130)</f>
        <v>195257477.20999998</v>
      </c>
      <c r="J128" s="251"/>
    </row>
    <row r="129" spans="1:13" x14ac:dyDescent="0.25">
      <c r="A129" s="26"/>
      <c r="B129" s="26"/>
      <c r="C129" s="26"/>
      <c r="D129" s="26"/>
      <c r="E129" s="26"/>
      <c r="F129" s="26"/>
      <c r="G129" s="26"/>
      <c r="H129" s="26"/>
      <c r="I129" s="101"/>
      <c r="J129" s="251"/>
    </row>
    <row r="130" spans="1:13" x14ac:dyDescent="0.25">
      <c r="A130" s="602" t="s">
        <v>488</v>
      </c>
      <c r="B130" s="596"/>
      <c r="C130" s="596"/>
      <c r="D130" s="596"/>
      <c r="E130" s="596"/>
      <c r="F130" s="596"/>
      <c r="G130" s="596"/>
      <c r="H130" s="81" t="s">
        <v>351</v>
      </c>
      <c r="I130" s="134"/>
      <c r="J130" s="251"/>
    </row>
    <row r="131" spans="1:13" x14ac:dyDescent="0.25">
      <c r="A131" s="596" t="s">
        <v>70</v>
      </c>
      <c r="B131" s="596"/>
      <c r="C131" s="596"/>
      <c r="D131" s="596"/>
      <c r="E131" s="596"/>
      <c r="F131" s="596"/>
      <c r="G131" s="596"/>
      <c r="H131" s="70"/>
      <c r="I131" s="116">
        <f>SUM('1461:4131'!I130)</f>
        <v>195257477.20999998</v>
      </c>
    </row>
    <row r="132" spans="1:13" x14ac:dyDescent="0.25">
      <c r="B132" s="69"/>
      <c r="C132" s="69"/>
      <c r="D132" s="69"/>
      <c r="E132" s="69"/>
      <c r="F132" s="69"/>
      <c r="G132" s="69"/>
      <c r="H132" s="65"/>
      <c r="I132" s="101"/>
    </row>
    <row r="133" spans="1:13" x14ac:dyDescent="0.25">
      <c r="A133" s="3" t="s">
        <v>73</v>
      </c>
      <c r="B133" s="69"/>
      <c r="C133" s="69"/>
      <c r="D133" s="69"/>
      <c r="E133" s="69"/>
      <c r="F133" s="69"/>
      <c r="G133" s="257"/>
      <c r="H133" s="139">
        <f>IF(H131=1,I131,I128)</f>
        <v>195257477.20999998</v>
      </c>
      <c r="I133" s="94">
        <f>SUM('1461:4131'!I135)</f>
        <v>-3170059.0700000003</v>
      </c>
    </row>
    <row r="134" spans="1:13" x14ac:dyDescent="0.25">
      <c r="B134" s="69"/>
      <c r="C134" s="69"/>
      <c r="D134" s="69"/>
      <c r="E134" s="69"/>
      <c r="F134" s="69"/>
      <c r="G134" s="69"/>
      <c r="H134" s="65"/>
      <c r="I134" s="101"/>
    </row>
    <row r="135" spans="1:13" x14ac:dyDescent="0.25">
      <c r="A135" s="308" t="s">
        <v>74</v>
      </c>
      <c r="B135" s="309"/>
      <c r="C135" s="309"/>
      <c r="D135" s="309"/>
      <c r="E135" s="309"/>
      <c r="F135" s="309"/>
      <c r="G135" s="309"/>
      <c r="H135" s="310"/>
      <c r="I135" s="311">
        <f>SUM('1461:4131'!I137)</f>
        <v>200272060.84000009</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1">
        <f>SUM('1461:4131'!I139)</f>
        <v>-200359658.78999999</v>
      </c>
    </row>
    <row r="138" spans="1:13" x14ac:dyDescent="0.25">
      <c r="B138" s="69"/>
      <c r="C138" s="69"/>
      <c r="D138" s="69"/>
      <c r="E138" s="69"/>
      <c r="F138" s="69"/>
      <c r="G138" s="69"/>
      <c r="H138" s="65"/>
      <c r="I138" s="101"/>
    </row>
    <row r="139" spans="1:13" x14ac:dyDescent="0.25">
      <c r="A139" s="3" t="s">
        <v>247</v>
      </c>
      <c r="B139" s="69"/>
      <c r="C139" s="69"/>
      <c r="D139" s="69"/>
      <c r="E139" s="69"/>
      <c r="F139" s="69"/>
      <c r="G139" s="69"/>
      <c r="H139" s="65"/>
      <c r="I139" s="101">
        <f>SUM('1461:4131'!I141)</f>
        <v>-87597.949999996228</v>
      </c>
    </row>
    <row r="140" spans="1:13" x14ac:dyDescent="0.25">
      <c r="A140" s="3"/>
      <c r="B140" s="69"/>
      <c r="C140" s="69"/>
      <c r="D140" s="69"/>
      <c r="E140" s="69"/>
      <c r="F140" s="69"/>
      <c r="G140" s="69"/>
      <c r="H140" s="65"/>
      <c r="I140" s="101"/>
    </row>
    <row r="141" spans="1:13" x14ac:dyDescent="0.25">
      <c r="A141" s="3" t="s">
        <v>248</v>
      </c>
      <c r="B141" s="69"/>
      <c r="C141" s="69"/>
      <c r="D141" s="69"/>
      <c r="E141" s="69"/>
      <c r="F141" s="69"/>
      <c r="G141" s="69"/>
      <c r="H141" s="65"/>
      <c r="I141" s="272">
        <f>'1461'!I143</f>
        <v>1</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SUM('1461:4131'!I145)</f>
        <v>-87597.950000000012</v>
      </c>
      <c r="K143" s="432"/>
      <c r="L143" s="432"/>
      <c r="M143" s="432"/>
    </row>
    <row r="144" spans="1:13" s="135" customFormat="1" ht="16.5" thickTop="1" x14ac:dyDescent="0.25">
      <c r="A144" s="439"/>
      <c r="B144" s="439"/>
      <c r="C144" s="440"/>
      <c r="D144" s="441"/>
      <c r="E144" s="442"/>
      <c r="F144" s="223"/>
      <c r="G144" s="443"/>
      <c r="H144" s="444"/>
      <c r="I144" s="438"/>
    </row>
    <row r="145" spans="1:8" x14ac:dyDescent="0.25">
      <c r="A145" s="577" t="s">
        <v>7</v>
      </c>
      <c r="B145" s="577"/>
      <c r="C145" s="577"/>
      <c r="D145" s="577"/>
      <c r="E145" s="577"/>
      <c r="F145" s="577"/>
      <c r="G145" s="577"/>
      <c r="H145" s="577"/>
    </row>
    <row r="146" spans="1:8" ht="26.25" customHeight="1" x14ac:dyDescent="0.25">
      <c r="A146" s="578" t="s">
        <v>489</v>
      </c>
      <c r="B146" s="578"/>
      <c r="C146" s="578"/>
      <c r="D146" s="578"/>
      <c r="E146" s="578"/>
      <c r="F146" s="578"/>
      <c r="G146" s="578"/>
      <c r="H146" s="578"/>
    </row>
    <row r="147" spans="1:8" x14ac:dyDescent="0.25">
      <c r="A147" s="577" t="s">
        <v>395</v>
      </c>
      <c r="B147" s="577"/>
      <c r="C147" s="577"/>
      <c r="D147" s="577"/>
      <c r="E147" s="577"/>
      <c r="F147" s="577"/>
      <c r="G147" s="577"/>
      <c r="H147" s="577"/>
    </row>
    <row r="148" spans="1:8" x14ac:dyDescent="0.25">
      <c r="A148" s="577" t="s">
        <v>396</v>
      </c>
      <c r="B148" s="577"/>
      <c r="C148" s="577"/>
      <c r="D148" s="577"/>
      <c r="E148" s="577"/>
      <c r="F148" s="577"/>
      <c r="G148" s="577"/>
      <c r="H148" s="577"/>
    </row>
    <row r="149" spans="1:8" x14ac:dyDescent="0.25">
      <c r="A149" s="577" t="s">
        <v>397</v>
      </c>
      <c r="B149" s="577"/>
      <c r="C149" s="577"/>
      <c r="D149" s="577"/>
      <c r="E149" s="577"/>
      <c r="F149" s="577"/>
      <c r="G149" s="577"/>
      <c r="H149" s="577"/>
    </row>
    <row r="150" spans="1:8" x14ac:dyDescent="0.25">
      <c r="A150" s="577" t="s">
        <v>398</v>
      </c>
      <c r="B150" s="577"/>
      <c r="C150" s="577"/>
      <c r="D150" s="577"/>
      <c r="E150" s="577"/>
      <c r="F150" s="577"/>
      <c r="G150" s="577"/>
      <c r="H150" s="577"/>
    </row>
    <row r="151" spans="1:8" x14ac:dyDescent="0.25">
      <c r="A151" s="577" t="s">
        <v>399</v>
      </c>
      <c r="B151" s="577"/>
      <c r="C151" s="577"/>
      <c r="D151" s="577"/>
      <c r="E151" s="577"/>
      <c r="F151" s="577"/>
      <c r="G151" s="577"/>
      <c r="H151" s="577"/>
    </row>
    <row r="152" spans="1:8" ht="26.25" customHeight="1" x14ac:dyDescent="0.25">
      <c r="A152" s="610" t="s">
        <v>490</v>
      </c>
      <c r="B152" s="610"/>
      <c r="C152" s="610"/>
      <c r="D152" s="610"/>
      <c r="E152" s="610"/>
      <c r="F152" s="610"/>
      <c r="G152" s="610"/>
      <c r="H152" s="610"/>
    </row>
    <row r="153" spans="1:8" ht="26.25" customHeight="1" x14ac:dyDescent="0.25">
      <c r="A153" s="578" t="s">
        <v>491</v>
      </c>
      <c r="B153" s="578"/>
      <c r="C153" s="578"/>
      <c r="D153" s="578"/>
      <c r="E153" s="578"/>
      <c r="F153" s="578"/>
      <c r="G153" s="578"/>
      <c r="H153" s="578"/>
    </row>
    <row r="154" spans="1:8" ht="26.25" customHeight="1" x14ac:dyDescent="0.25">
      <c r="A154" s="578" t="s">
        <v>405</v>
      </c>
      <c r="B154" s="578"/>
      <c r="C154" s="578"/>
      <c r="D154" s="578"/>
      <c r="E154" s="578"/>
      <c r="F154" s="578"/>
      <c r="G154" s="578"/>
      <c r="H154" s="578"/>
    </row>
    <row r="155" spans="1:8" ht="16.5" customHeight="1" x14ac:dyDescent="0.25">
      <c r="A155" s="504" t="s">
        <v>288</v>
      </c>
      <c r="B155" s="504"/>
      <c r="C155" s="504"/>
      <c r="D155" s="504"/>
      <c r="E155" s="504"/>
      <c r="F155" s="504"/>
      <c r="G155" s="504"/>
      <c r="H155" s="504"/>
    </row>
    <row r="156" spans="1:8" ht="26.25" customHeight="1" x14ac:dyDescent="0.25">
      <c r="A156" s="610" t="s">
        <v>492</v>
      </c>
      <c r="B156" s="610"/>
      <c r="C156" s="610"/>
      <c r="D156" s="610"/>
      <c r="E156" s="610"/>
      <c r="F156" s="610"/>
      <c r="G156" s="610"/>
      <c r="H156" s="610"/>
    </row>
    <row r="157" spans="1:8" ht="26.25" customHeight="1" x14ac:dyDescent="0.25">
      <c r="A157" s="610" t="s">
        <v>493</v>
      </c>
      <c r="B157" s="610"/>
      <c r="C157" s="610"/>
      <c r="D157" s="610"/>
      <c r="E157" s="610"/>
      <c r="F157" s="610"/>
      <c r="G157" s="610"/>
      <c r="H157" s="610"/>
    </row>
    <row r="158" spans="1:8" x14ac:dyDescent="0.25">
      <c r="A158" s="609" t="s">
        <v>67</v>
      </c>
      <c r="B158" s="610"/>
      <c r="C158" s="610"/>
      <c r="D158" s="610"/>
      <c r="E158" s="610"/>
      <c r="F158" s="610"/>
      <c r="G158" s="610"/>
      <c r="H158" s="610"/>
    </row>
    <row r="159" spans="1:8" ht="54.75" customHeight="1" x14ac:dyDescent="0.25">
      <c r="A159" s="611" t="s">
        <v>494</v>
      </c>
      <c r="B159" s="611"/>
      <c r="C159" s="611"/>
      <c r="D159" s="611"/>
      <c r="E159" s="611"/>
      <c r="F159" s="611"/>
      <c r="G159" s="611"/>
      <c r="H159" s="611"/>
    </row>
    <row r="160" spans="1:8" ht="42.75" customHeight="1" x14ac:dyDescent="0.25">
      <c r="A160" s="611" t="s">
        <v>495</v>
      </c>
      <c r="B160" s="611"/>
      <c r="C160" s="611"/>
      <c r="D160" s="611"/>
      <c r="E160" s="611"/>
      <c r="F160" s="611"/>
      <c r="G160" s="611"/>
      <c r="H160" s="611"/>
    </row>
    <row r="161" spans="1:8" x14ac:dyDescent="0.25">
      <c r="A161" s="505"/>
      <c r="B161" s="505"/>
      <c r="C161" s="505"/>
      <c r="D161" s="505"/>
      <c r="E161" s="505"/>
      <c r="F161" s="505"/>
      <c r="G161" s="505"/>
      <c r="H161" s="505"/>
    </row>
    <row r="162" spans="1:8" x14ac:dyDescent="0.25">
      <c r="A162" s="612" t="s">
        <v>68</v>
      </c>
      <c r="B162" s="612"/>
      <c r="C162" s="612"/>
      <c r="D162" s="612"/>
      <c r="E162" s="612"/>
      <c r="F162" s="612"/>
      <c r="G162" s="612"/>
      <c r="H162" s="612"/>
    </row>
    <row r="163" spans="1:8" ht="26.25" customHeight="1" x14ac:dyDescent="0.25">
      <c r="A163" s="611" t="s">
        <v>496</v>
      </c>
      <c r="B163" s="611"/>
      <c r="C163" s="611"/>
      <c r="D163" s="611"/>
      <c r="E163" s="611"/>
      <c r="F163" s="611"/>
      <c r="G163" s="611"/>
      <c r="H163" s="611"/>
    </row>
    <row r="164" spans="1:8" x14ac:dyDescent="0.25">
      <c r="A164" s="613" t="s">
        <v>11</v>
      </c>
      <c r="B164" s="613"/>
      <c r="C164" s="613"/>
      <c r="D164" s="613"/>
      <c r="E164" s="613"/>
      <c r="F164" s="613"/>
      <c r="G164" s="613"/>
      <c r="H164" s="613"/>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133</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34.08</v>
      </c>
      <c r="D16" s="143">
        <v>34.06</v>
      </c>
      <c r="E16" s="116">
        <f t="shared" si="1"/>
        <v>68.14</v>
      </c>
      <c r="F16" s="679">
        <f>'1461'!F16:G16</f>
        <v>1</v>
      </c>
      <c r="G16" s="679"/>
      <c r="H16" s="80">
        <f t="shared" si="2"/>
        <v>68.14</v>
      </c>
      <c r="I16" s="101">
        <f t="shared" si="3"/>
        <v>365700.98</v>
      </c>
      <c r="N16" s="621" t="s">
        <v>22</v>
      </c>
      <c r="O16" s="621"/>
      <c r="P16" s="662">
        <f t="shared" si="0"/>
        <v>0</v>
      </c>
      <c r="Q16" s="662"/>
      <c r="R16" s="667">
        <v>1</v>
      </c>
      <c r="S16" s="667"/>
      <c r="T16" s="95">
        <f t="shared" si="4"/>
        <v>0</v>
      </c>
      <c r="U16" s="486">
        <f t="shared" si="5"/>
        <v>0</v>
      </c>
    </row>
    <row r="17" spans="1:21" x14ac:dyDescent="0.25">
      <c r="A17" s="596" t="s">
        <v>23</v>
      </c>
      <c r="B17" s="596"/>
      <c r="C17" s="143">
        <v>10.66</v>
      </c>
      <c r="D17" s="143">
        <v>10.72</v>
      </c>
      <c r="E17" s="116">
        <f t="shared" si="1"/>
        <v>21.380000000000003</v>
      </c>
      <c r="F17" s="679">
        <f>'1461'!F17:G17</f>
        <v>1</v>
      </c>
      <c r="G17" s="679"/>
      <c r="H17" s="80">
        <f t="shared" si="2"/>
        <v>21.38</v>
      </c>
      <c r="I17" s="101">
        <f t="shared" si="3"/>
        <v>114744.45</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0.43</v>
      </c>
      <c r="D27" s="143">
        <v>0.43</v>
      </c>
      <c r="E27" s="116">
        <f t="shared" si="1"/>
        <v>0.86</v>
      </c>
      <c r="F27" s="679">
        <f>'1461'!F27:G27</f>
        <v>1.208</v>
      </c>
      <c r="G27" s="679"/>
      <c r="H27" s="80">
        <f t="shared" si="2"/>
        <v>1.0388999999999999</v>
      </c>
      <c r="I27" s="101">
        <f t="shared" si="3"/>
        <v>5575.68</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45.169999999999995</v>
      </c>
      <c r="D30" s="94">
        <f>SUM(D14:D29)</f>
        <v>45.21</v>
      </c>
      <c r="E30" s="94">
        <f>SUM(E14:E29)</f>
        <v>90.38000000000001</v>
      </c>
      <c r="F30" s="600"/>
      <c r="G30" s="600"/>
      <c r="H30" s="99">
        <f>SUM(H14:H29)</f>
        <v>90.558899999999994</v>
      </c>
      <c r="I30" s="94">
        <f>SUM(I14:I29)</f>
        <v>486021.11</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90.558899999999994</v>
      </c>
      <c r="F46" s="34"/>
      <c r="G46" s="106"/>
      <c r="H46" s="107" t="s">
        <v>98</v>
      </c>
      <c r="I46" s="94">
        <f>SUM(I44,I30)</f>
        <v>486021.11</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435524.42000000004</v>
      </c>
      <c r="G51" s="109" t="s">
        <v>6</v>
      </c>
      <c r="H51" s="415">
        <v>4.5199999999999997E-2</v>
      </c>
      <c r="I51" s="101">
        <f>ROUND(F51*H51,2)</f>
        <v>19685.7</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435524.42000000004</v>
      </c>
      <c r="G52" s="109" t="s">
        <v>6</v>
      </c>
      <c r="H52" s="415">
        <v>1.41E-2</v>
      </c>
      <c r="I52" s="101">
        <f>ROUND(F52*H52,2)</f>
        <v>6140.89</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25826.59</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10.66</v>
      </c>
      <c r="D60" s="143">
        <v>10.72</v>
      </c>
      <c r="E60" s="116">
        <f t="shared" si="10"/>
        <v>21.380000000000003</v>
      </c>
      <c r="F60" s="457" t="s">
        <v>13</v>
      </c>
      <c r="G60" s="456">
        <v>251</v>
      </c>
      <c r="H60" s="470">
        <f>'1461'!H60</f>
        <v>1173</v>
      </c>
      <c r="I60" s="101">
        <f t="shared" si="11"/>
        <v>25078.74</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10.66</v>
      </c>
      <c r="D66" s="97">
        <f>SUM(D57:D65)</f>
        <v>10.72</v>
      </c>
      <c r="E66" s="97">
        <f>SUM(E57:E65)</f>
        <v>21.380000000000003</v>
      </c>
      <c r="F66" s="608" t="s">
        <v>471</v>
      </c>
      <c r="G66" s="608"/>
      <c r="H66" s="608"/>
      <c r="I66" s="97">
        <f>SUM(I57:I65)</f>
        <v>25078.74</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90.38000000000001</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4.46E-4</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90.558899999999994</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3.97E-4</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90.38000000000001</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4.84E-4</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90.38000000000001</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4.4700000000000002E-4</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90.38000000000001</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4.8500000000000003E-4</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4.4700000000000002E-4</v>
      </c>
      <c r="I85" s="101">
        <f>ROUND(F85*H85,2)</f>
        <v>19892.68</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4.46E-4</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4.8500000000000003E-4</v>
      </c>
      <c r="I90" s="101">
        <f>ROUND(F90*H90,2)</f>
        <v>7909.95</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4.84E-4</v>
      </c>
      <c r="I92" s="101">
        <f t="shared" ref="I92:I96" si="14">ROUND(F92*H92,2)</f>
        <v>4911.95</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3.97E-4</v>
      </c>
      <c r="I94" s="101">
        <f t="shared" si="14"/>
        <v>94882.08</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3.97E-4</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4.46E-4</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90.558899999999994</v>
      </c>
      <c r="D105" s="614"/>
      <c r="E105" s="46">
        <f>H8</f>
        <v>1.0442</v>
      </c>
      <c r="F105" s="302">
        <f>'1461'!F105</f>
        <v>904.74</v>
      </c>
      <c r="G105" s="39" t="s">
        <v>12</v>
      </c>
      <c r="H105" s="101">
        <f>ROUND(C105*E105*F105,2)</f>
        <v>85553.67</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90.558899999999994</v>
      </c>
      <c r="D107" s="604"/>
      <c r="E107" s="123"/>
      <c r="F107" s="123"/>
      <c r="G107" s="123"/>
      <c r="H107" s="124" t="s">
        <v>100</v>
      </c>
      <c r="I107" s="101">
        <f>IF(A1=75,0,H106+H105+H104)</f>
        <v>85553.67</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0</v>
      </c>
      <c r="D113" s="143">
        <v>0</v>
      </c>
      <c r="E113" s="116">
        <f>C113</f>
        <v>0</v>
      </c>
      <c r="F113" s="126" t="s">
        <v>30</v>
      </c>
      <c r="G113" s="303">
        <f>'1461'!G113</f>
        <v>536</v>
      </c>
      <c r="I113" s="101">
        <f>ROUND(G113*E113,2)</f>
        <v>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724250.17999999993</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698423.59</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698423.59</v>
      </c>
      <c r="I135" s="94">
        <f>ROUND(IF(E30=0,0,IF(E30&gt;250,-(((250/E30)*H135)*IF(G135="H",0.02,0.05)),IF(G135="H",-0.02*H135,-0.05*H135))),2)</f>
        <v>-13968.47</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710281.71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-713559.92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-3278.2100000000792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-3278.21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134</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142.08000000000001</v>
      </c>
      <c r="D14" s="141">
        <v>141.30000000000001</v>
      </c>
      <c r="E14" s="187">
        <f>IF(D$30=0,C14*2,C14+D14)</f>
        <v>283.38</v>
      </c>
      <c r="F14" s="687">
        <f>'1461'!F14:G14</f>
        <v>1.1220000000000001</v>
      </c>
      <c r="G14" s="687"/>
      <c r="H14" s="145">
        <f>ROUND(E14*F14,4)</f>
        <v>317.95240000000001</v>
      </c>
      <c r="I14" s="111">
        <f>ROUND(ROUND(ROUND(H14*$C$8,4)*($H$8),2)*(MAX($H$9,1)),2)</f>
        <v>1706420.66</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10.37</v>
      </c>
      <c r="D15" s="143">
        <v>9.51</v>
      </c>
      <c r="E15" s="116">
        <f t="shared" ref="E15:E29" si="1">IF(D$30=0,C15*2,C15+D15)</f>
        <v>19.88</v>
      </c>
      <c r="F15" s="679">
        <f>'1461'!F15:G15</f>
        <v>1.1220000000000001</v>
      </c>
      <c r="G15" s="679"/>
      <c r="H15" s="80">
        <f t="shared" ref="H15:H29" si="2">ROUND(E15*F15,4)</f>
        <v>22.305399999999999</v>
      </c>
      <c r="I15" s="101">
        <f t="shared" ref="I15:I29" si="3">ROUND(ROUND(ROUND(H15*$C$8,4)*($H$8),2)*(MAX($H$9,1)),2)</f>
        <v>119710.99</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177.83</v>
      </c>
      <c r="D16" s="143">
        <v>180.81</v>
      </c>
      <c r="E16" s="116">
        <f t="shared" si="1"/>
        <v>358.64</v>
      </c>
      <c r="F16" s="679">
        <f>'1461'!F16:G16</f>
        <v>1</v>
      </c>
      <c r="G16" s="679"/>
      <c r="H16" s="80">
        <f t="shared" si="2"/>
        <v>358.64</v>
      </c>
      <c r="I16" s="101">
        <f t="shared" si="3"/>
        <v>1924787.19</v>
      </c>
      <c r="N16" s="621" t="s">
        <v>22</v>
      </c>
      <c r="O16" s="621"/>
      <c r="P16" s="662">
        <f t="shared" si="0"/>
        <v>0</v>
      </c>
      <c r="Q16" s="662"/>
      <c r="R16" s="667">
        <v>1</v>
      </c>
      <c r="S16" s="667"/>
      <c r="T16" s="95">
        <f t="shared" si="4"/>
        <v>0</v>
      </c>
      <c r="U16" s="486">
        <f t="shared" si="5"/>
        <v>0</v>
      </c>
    </row>
    <row r="17" spans="1:21" x14ac:dyDescent="0.25">
      <c r="A17" s="596" t="s">
        <v>23</v>
      </c>
      <c r="B17" s="596"/>
      <c r="C17" s="143">
        <v>20.32</v>
      </c>
      <c r="D17" s="143">
        <v>20.23</v>
      </c>
      <c r="E17" s="116">
        <f t="shared" si="1"/>
        <v>40.549999999999997</v>
      </c>
      <c r="F17" s="679">
        <f>'1461'!F17:G17</f>
        <v>1</v>
      </c>
      <c r="G17" s="679"/>
      <c r="H17" s="80">
        <f t="shared" si="2"/>
        <v>40.549999999999997</v>
      </c>
      <c r="I17" s="101">
        <f t="shared" si="3"/>
        <v>217628.04</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22.89</v>
      </c>
      <c r="D26" s="143">
        <v>19.68</v>
      </c>
      <c r="E26" s="116">
        <f t="shared" si="1"/>
        <v>42.57</v>
      </c>
      <c r="F26" s="679">
        <f>'1461'!F26:G26</f>
        <v>1.208</v>
      </c>
      <c r="G26" s="679"/>
      <c r="H26" s="80">
        <f t="shared" si="2"/>
        <v>51.424599999999998</v>
      </c>
      <c r="I26" s="101">
        <f t="shared" si="3"/>
        <v>275991</v>
      </c>
      <c r="N26" s="621" t="s">
        <v>85</v>
      </c>
      <c r="O26" s="621"/>
      <c r="P26" s="662">
        <f t="shared" si="0"/>
        <v>0</v>
      </c>
      <c r="Q26" s="662"/>
      <c r="R26" s="667">
        <v>1</v>
      </c>
      <c r="S26" s="667"/>
      <c r="T26" s="95">
        <f t="shared" si="4"/>
        <v>0</v>
      </c>
      <c r="U26" s="486">
        <f t="shared" si="5"/>
        <v>0</v>
      </c>
    </row>
    <row r="27" spans="1:21" x14ac:dyDescent="0.25">
      <c r="A27" s="596" t="s">
        <v>86</v>
      </c>
      <c r="B27" s="596"/>
      <c r="C27" s="143">
        <v>18.82</v>
      </c>
      <c r="D27" s="143">
        <v>15.22</v>
      </c>
      <c r="E27" s="116">
        <f t="shared" si="1"/>
        <v>34.04</v>
      </c>
      <c r="F27" s="679">
        <f>'1461'!F27:G27</f>
        <v>1.208</v>
      </c>
      <c r="G27" s="679"/>
      <c r="H27" s="80">
        <f t="shared" si="2"/>
        <v>41.1203</v>
      </c>
      <c r="I27" s="101">
        <f t="shared" si="3"/>
        <v>220688.79</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392.31</v>
      </c>
      <c r="D30" s="94">
        <f>SUM(D14:D29)</f>
        <v>386.75000000000006</v>
      </c>
      <c r="E30" s="94">
        <f>SUM(E14:E29)</f>
        <v>779.06</v>
      </c>
      <c r="F30" s="600"/>
      <c r="G30" s="600"/>
      <c r="H30" s="99">
        <f>SUM(H14:H29)</f>
        <v>831.99270000000001</v>
      </c>
      <c r="I30" s="94">
        <f>SUM(I14:I29)</f>
        <v>4465226.67</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831.99270000000001</v>
      </c>
      <c r="F46" s="34"/>
      <c r="G46" s="106"/>
      <c r="H46" s="107" t="s">
        <v>98</v>
      </c>
      <c r="I46" s="94">
        <f>SUM(I44,I30)</f>
        <v>4465226.67</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4602108.53</v>
      </c>
      <c r="G51" s="109" t="s">
        <v>6</v>
      </c>
      <c r="H51" s="415">
        <v>4.5199999999999997E-2</v>
      </c>
      <c r="I51" s="101">
        <f>ROUND(F51*H51,2)</f>
        <v>208015.31</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4602108.53</v>
      </c>
      <c r="G52" s="109" t="s">
        <v>6</v>
      </c>
      <c r="H52" s="415">
        <v>1.41E-2</v>
      </c>
      <c r="I52" s="101">
        <f>ROUND(F52*H52,2)</f>
        <v>64889.73</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272905.03999999998</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7.41</v>
      </c>
      <c r="D57" s="143">
        <v>6.47</v>
      </c>
      <c r="E57" s="116">
        <f t="shared" ref="E57:E65" si="10">IF(D$66=0,C57*2,C57+D57)</f>
        <v>13.879999999999999</v>
      </c>
      <c r="F57" s="456" t="s">
        <v>462</v>
      </c>
      <c r="G57" s="456">
        <v>251</v>
      </c>
      <c r="H57" s="470">
        <f>'1461'!H57</f>
        <v>1047</v>
      </c>
      <c r="I57" s="101">
        <f>ROUND(E57*H57,2)</f>
        <v>14532.36</v>
      </c>
      <c r="N57" s="638" t="s">
        <v>470</v>
      </c>
      <c r="O57" s="638"/>
      <c r="P57" s="641"/>
      <c r="Q57" s="641"/>
      <c r="R57" s="462" t="s">
        <v>462</v>
      </c>
      <c r="S57" s="462">
        <v>251</v>
      </c>
      <c r="T57" s="473">
        <f>H57</f>
        <v>1047</v>
      </c>
      <c r="U57" s="487">
        <f>ROUND(P57*T57,2)</f>
        <v>0</v>
      </c>
      <c r="V57" s="438"/>
    </row>
    <row r="58" spans="1:22" x14ac:dyDescent="0.25">
      <c r="A58" s="607"/>
      <c r="B58" s="607"/>
      <c r="C58" s="143">
        <v>2.4700000000000002</v>
      </c>
      <c r="D58" s="143">
        <v>2.5299999999999998</v>
      </c>
      <c r="E58" s="116">
        <f t="shared" si="10"/>
        <v>5</v>
      </c>
      <c r="F58" s="456" t="s">
        <v>462</v>
      </c>
      <c r="G58" s="456">
        <v>252</v>
      </c>
      <c r="H58" s="470">
        <f>'1461'!H58</f>
        <v>3380</v>
      </c>
      <c r="I58" s="101">
        <f t="shared" ref="I58:I65" si="11">ROUND(E58*H58,2)</f>
        <v>16900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0.49</v>
      </c>
      <c r="D59" s="143">
        <v>0.51</v>
      </c>
      <c r="E59" s="116">
        <f t="shared" si="10"/>
        <v>1</v>
      </c>
      <c r="F59" s="456" t="s">
        <v>462</v>
      </c>
      <c r="G59" s="456">
        <v>253</v>
      </c>
      <c r="H59" s="470">
        <f>'1461'!H59</f>
        <v>6896</v>
      </c>
      <c r="I59" s="101">
        <f t="shared" si="11"/>
        <v>6896</v>
      </c>
      <c r="N59" s="639"/>
      <c r="O59" s="639"/>
      <c r="P59" s="642"/>
      <c r="Q59" s="642"/>
      <c r="R59" s="462" t="s">
        <v>462</v>
      </c>
      <c r="S59" s="462">
        <v>253</v>
      </c>
      <c r="T59" s="473">
        <f t="shared" si="12"/>
        <v>6896</v>
      </c>
      <c r="U59" s="487">
        <f t="shared" si="13"/>
        <v>0</v>
      </c>
      <c r="V59" s="438"/>
    </row>
    <row r="60" spans="1:22" x14ac:dyDescent="0.25">
      <c r="A60" s="607"/>
      <c r="B60" s="607"/>
      <c r="C60" s="143">
        <v>20.32</v>
      </c>
      <c r="D60" s="143">
        <v>20.23</v>
      </c>
      <c r="E60" s="116">
        <f t="shared" si="10"/>
        <v>40.549999999999997</v>
      </c>
      <c r="F60" s="457" t="s">
        <v>13</v>
      </c>
      <c r="G60" s="456">
        <v>251</v>
      </c>
      <c r="H60" s="470">
        <f>'1461'!H60</f>
        <v>1173</v>
      </c>
      <c r="I60" s="101">
        <f t="shared" si="11"/>
        <v>47565.15</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30.69</v>
      </c>
      <c r="D66" s="97">
        <f>SUM(D57:D65)</f>
        <v>29.740000000000002</v>
      </c>
      <c r="E66" s="97">
        <f>SUM(E57:E65)</f>
        <v>60.429999999999993</v>
      </c>
      <c r="F66" s="608" t="s">
        <v>471</v>
      </c>
      <c r="G66" s="608"/>
      <c r="H66" s="608"/>
      <c r="I66" s="97">
        <f>SUM(I57:I65)</f>
        <v>85893.510000000009</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779.06</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3.8440000000000002E-3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831.99270000000001</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3.6480000000000002E-3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779.06</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4.1720000000000004E-3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779.06</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3.8500000000000001E-3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779.06</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4.1799999999999997E-3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3.8500000000000001E-3</v>
      </c>
      <c r="I85" s="101">
        <f>ROUND(F85*H85,2)</f>
        <v>171335.19</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3.8440000000000002E-3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4.1799999999999997E-3</v>
      </c>
      <c r="I90" s="101">
        <f>ROUND(F90*H90,2)</f>
        <v>68172.320000000007</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4.1720000000000004E-3</v>
      </c>
      <c r="I92" s="101">
        <f t="shared" ref="I92:I96" si="14">ROUND(F92*H92,2)</f>
        <v>42340.18</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3.6480000000000002E-3</v>
      </c>
      <c r="I94" s="101">
        <f t="shared" si="14"/>
        <v>871863.51</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3.6480000000000002E-3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3.8440000000000002E-3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391.68240000000003</v>
      </c>
      <c r="D104" s="614"/>
      <c r="E104" s="46">
        <f>H8</f>
        <v>1.0442</v>
      </c>
      <c r="F104" s="302">
        <f>'1461'!F104</f>
        <v>947.59</v>
      </c>
      <c r="G104" s="39" t="s">
        <v>12</v>
      </c>
      <c r="H104" s="101">
        <f>ROUND(C104*E104*F104,2)</f>
        <v>387559.35</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440.31029999999998</v>
      </c>
      <c r="D105" s="614"/>
      <c r="E105" s="46">
        <f>H8</f>
        <v>1.0442</v>
      </c>
      <c r="F105" s="302">
        <f>'1461'!F105</f>
        <v>904.74</v>
      </c>
      <c r="G105" s="39" t="s">
        <v>12</v>
      </c>
      <c r="H105" s="101">
        <f>ROUND(C105*E105*F105,2)</f>
        <v>415974.13</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831.99270000000001</v>
      </c>
      <c r="D107" s="604"/>
      <c r="E107" s="123"/>
      <c r="F107" s="123"/>
      <c r="G107" s="123"/>
      <c r="H107" s="124" t="s">
        <v>100</v>
      </c>
      <c r="I107" s="101">
        <f>IF(A1=75,0,H106+H105+H104)</f>
        <v>803533.48</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3</v>
      </c>
      <c r="D113" s="143">
        <v>1</v>
      </c>
      <c r="E113" s="116">
        <f>(C113+D113)/2</f>
        <v>2</v>
      </c>
      <c r="F113" s="126" t="s">
        <v>30</v>
      </c>
      <c r="G113" s="303">
        <f>'1461'!G113</f>
        <v>536</v>
      </c>
      <c r="I113" s="101">
        <f>ROUND(G113*E113,2)</f>
        <v>1072</v>
      </c>
      <c r="N113" s="650" t="s">
        <v>52</v>
      </c>
      <c r="O113" s="650"/>
      <c r="P113" s="630">
        <f>IF(H133=1,E113,0)</f>
        <v>0</v>
      </c>
      <c r="Q113" s="630"/>
      <c r="R113" s="630"/>
      <c r="S113" s="83" t="s">
        <v>30</v>
      </c>
      <c r="T113" s="58">
        <f>G113</f>
        <v>536</v>
      </c>
      <c r="U113" s="486">
        <f>ROUND(T113*P113,2)</f>
        <v>0</v>
      </c>
    </row>
    <row r="114" spans="1:21" x14ac:dyDescent="0.25">
      <c r="A114" s="575" t="s">
        <v>404</v>
      </c>
      <c r="B114" s="576"/>
      <c r="C114" s="143">
        <v>1</v>
      </c>
      <c r="D114" s="143">
        <v>0</v>
      </c>
      <c r="E114" s="116">
        <f>(C114+D114)/2</f>
        <v>0.5</v>
      </c>
      <c r="F114" s="126" t="s">
        <v>30</v>
      </c>
      <c r="G114" s="303">
        <f>'1461'!G114</f>
        <v>1760</v>
      </c>
      <c r="I114" s="101">
        <f>ROUND(G114*E114,2)</f>
        <v>880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6510316.8599999994</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6237411.8199999994</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94" t="s">
        <v>530</v>
      </c>
      <c r="O132" s="695"/>
      <c r="P132" s="695"/>
      <c r="Q132" s="695"/>
      <c r="R132" s="695"/>
      <c r="S132" s="695"/>
      <c r="T132" s="695"/>
      <c r="U132" s="138"/>
    </row>
    <row r="133" spans="1:21" x14ac:dyDescent="0.25">
      <c r="A133" s="596" t="s">
        <v>70</v>
      </c>
      <c r="B133" s="596"/>
      <c r="C133" s="596"/>
      <c r="D133" s="596"/>
      <c r="E133" s="596"/>
      <c r="F133" s="596"/>
      <c r="G133" s="596"/>
      <c r="H133" s="70" t="str">
        <f>IF(E30=0,"",IF((E15+E17+SUM(E19:E25))/E30&gt;0.75,1,""))</f>
        <v/>
      </c>
      <c r="I133" s="116">
        <f>U130</f>
        <v>0</v>
      </c>
      <c r="N133" s="695" t="s">
        <v>70</v>
      </c>
      <c r="O133" s="695"/>
      <c r="P133" s="695"/>
      <c r="Q133" s="695"/>
      <c r="R133" s="695"/>
      <c r="S133" s="695"/>
      <c r="T133" s="69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6237411.8199999994</v>
      </c>
      <c r="I135" s="94">
        <f>ROUND(IF(E30=0,0,IF(E30&gt;250,-(((250/E30)*H135)*IF(G135="H",0.02,0.05)),IF(G135="H",-0.02*H135,-0.05*H135))),2)</f>
        <v>-100079.13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6410237.7299999995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-6428206.29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-17968.560000000522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-17968.560000000001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211791.46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topLeftCell="A25"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135</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152.53</v>
      </c>
      <c r="D14" s="141">
        <v>150.53</v>
      </c>
      <c r="E14" s="187">
        <f>IF(D$30=0,C14*2,C14+D14)</f>
        <v>303.06</v>
      </c>
      <c r="F14" s="687">
        <f>'1461'!F14:G14</f>
        <v>1.1220000000000001</v>
      </c>
      <c r="G14" s="687"/>
      <c r="H14" s="145">
        <f>ROUND(E14*F14,4)</f>
        <v>340.0333</v>
      </c>
      <c r="I14" s="111">
        <f>ROUND(ROUND(ROUND(H14*$C$8,4)*($H$8),2)*(MAX($H$9,1)),2)</f>
        <v>1824926.78</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11.03</v>
      </c>
      <c r="D15" s="143">
        <v>13.15</v>
      </c>
      <c r="E15" s="116">
        <f t="shared" ref="E15:E29" si="1">IF(D$30=0,C15*2,C15+D15)</f>
        <v>24.18</v>
      </c>
      <c r="F15" s="679">
        <f>'1461'!F15:G15</f>
        <v>1.1220000000000001</v>
      </c>
      <c r="G15" s="679"/>
      <c r="H15" s="80">
        <f t="shared" ref="H15:H29" si="2">ROUND(E15*F15,4)</f>
        <v>27.13</v>
      </c>
      <c r="I15" s="101">
        <f t="shared" ref="I15:I29" si="3">ROUND(ROUND(ROUND(H15*$C$8,4)*($H$8),2)*(MAX($H$9,1)),2)</f>
        <v>145604.16</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170.14</v>
      </c>
      <c r="D16" s="143">
        <v>170.65</v>
      </c>
      <c r="E16" s="116">
        <f t="shared" si="1"/>
        <v>340.78999999999996</v>
      </c>
      <c r="F16" s="679">
        <f>'1461'!F16:G16</f>
        <v>1</v>
      </c>
      <c r="G16" s="679"/>
      <c r="H16" s="80">
        <f t="shared" si="2"/>
        <v>340.79</v>
      </c>
      <c r="I16" s="101">
        <f t="shared" si="3"/>
        <v>1828987.92</v>
      </c>
      <c r="N16" s="621" t="s">
        <v>22</v>
      </c>
      <c r="O16" s="621"/>
      <c r="P16" s="662">
        <f t="shared" si="0"/>
        <v>0</v>
      </c>
      <c r="Q16" s="662"/>
      <c r="R16" s="667">
        <v>1</v>
      </c>
      <c r="S16" s="667"/>
      <c r="T16" s="95">
        <f t="shared" si="4"/>
        <v>0</v>
      </c>
      <c r="U16" s="486">
        <f t="shared" si="5"/>
        <v>0</v>
      </c>
    </row>
    <row r="17" spans="1:21" x14ac:dyDescent="0.25">
      <c r="A17" s="596" t="s">
        <v>23</v>
      </c>
      <c r="B17" s="596"/>
      <c r="C17" s="143">
        <v>28.29</v>
      </c>
      <c r="D17" s="143">
        <v>28.55</v>
      </c>
      <c r="E17" s="116">
        <f t="shared" si="1"/>
        <v>56.84</v>
      </c>
      <c r="F17" s="679">
        <f>'1461'!F17:G17</f>
        <v>1</v>
      </c>
      <c r="G17" s="679"/>
      <c r="H17" s="80">
        <f t="shared" si="2"/>
        <v>56.84</v>
      </c>
      <c r="I17" s="101">
        <f t="shared" si="3"/>
        <v>305054.94</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31.02</v>
      </c>
      <c r="D26" s="143">
        <v>31.86</v>
      </c>
      <c r="E26" s="116">
        <f t="shared" si="1"/>
        <v>62.879999999999995</v>
      </c>
      <c r="F26" s="679">
        <f>'1461'!F26:G26</f>
        <v>1.208</v>
      </c>
      <c r="G26" s="679"/>
      <c r="H26" s="80">
        <f t="shared" si="2"/>
        <v>75.959000000000003</v>
      </c>
      <c r="I26" s="101">
        <f t="shared" si="3"/>
        <v>407664.82</v>
      </c>
      <c r="N26" s="621" t="s">
        <v>85</v>
      </c>
      <c r="O26" s="621"/>
      <c r="P26" s="662">
        <f t="shared" si="0"/>
        <v>0</v>
      </c>
      <c r="Q26" s="662"/>
      <c r="R26" s="667">
        <v>1</v>
      </c>
      <c r="S26" s="667"/>
      <c r="T26" s="95">
        <f t="shared" si="4"/>
        <v>0</v>
      </c>
      <c r="U26" s="486">
        <f t="shared" si="5"/>
        <v>0</v>
      </c>
    </row>
    <row r="27" spans="1:21" x14ac:dyDescent="0.25">
      <c r="A27" s="596" t="s">
        <v>86</v>
      </c>
      <c r="B27" s="596"/>
      <c r="C27" s="143">
        <v>28.97</v>
      </c>
      <c r="D27" s="143">
        <v>32.380000000000003</v>
      </c>
      <c r="E27" s="116">
        <f t="shared" si="1"/>
        <v>61.35</v>
      </c>
      <c r="F27" s="679">
        <f>'1461'!F27:G27</f>
        <v>1.208</v>
      </c>
      <c r="G27" s="679"/>
      <c r="H27" s="80">
        <f t="shared" si="2"/>
        <v>74.110799999999998</v>
      </c>
      <c r="I27" s="101">
        <f t="shared" si="3"/>
        <v>397745.7</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421.98</v>
      </c>
      <c r="D30" s="94">
        <f>SUM(D14:D29)</f>
        <v>427.12000000000006</v>
      </c>
      <c r="E30" s="94">
        <f>SUM(E14:E29)</f>
        <v>849.1</v>
      </c>
      <c r="F30" s="600"/>
      <c r="G30" s="600"/>
      <c r="H30" s="99">
        <f>SUM(H14:H29)</f>
        <v>914.86310000000014</v>
      </c>
      <c r="I30" s="94">
        <f>SUM(I14:I29)</f>
        <v>4909984.32</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914.86310000000014</v>
      </c>
      <c r="F46" s="34"/>
      <c r="G46" s="106"/>
      <c r="H46" s="107" t="s">
        <v>98</v>
      </c>
      <c r="I46" s="94">
        <f>SUM(I44,I30)</f>
        <v>4909984.32</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4796771.0399999991</v>
      </c>
      <c r="G51" s="109" t="s">
        <v>6</v>
      </c>
      <c r="H51" s="415">
        <v>4.5199999999999997E-2</v>
      </c>
      <c r="I51" s="101">
        <f>ROUND(F51*H51,2)</f>
        <v>216814.05</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4796771.0399999991</v>
      </c>
      <c r="G52" s="109" t="s">
        <v>6</v>
      </c>
      <c r="H52" s="415">
        <v>1.41E-2</v>
      </c>
      <c r="I52" s="101">
        <f>ROUND(F52*H52,2)</f>
        <v>67634.47</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284448.52</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9.5299999999999994</v>
      </c>
      <c r="D57" s="143">
        <v>11.73</v>
      </c>
      <c r="E57" s="116">
        <f t="shared" ref="E57:E65" si="10">IF(D$66=0,C57*2,C57+D57)</f>
        <v>21.259999999999998</v>
      </c>
      <c r="F57" s="456" t="s">
        <v>462</v>
      </c>
      <c r="G57" s="456">
        <v>251</v>
      </c>
      <c r="H57" s="470">
        <f>'1461'!H57</f>
        <v>1047</v>
      </c>
      <c r="I57" s="101">
        <f>ROUND(E57*H57,2)</f>
        <v>22259.22</v>
      </c>
      <c r="N57" s="638" t="s">
        <v>470</v>
      </c>
      <c r="O57" s="638"/>
      <c r="P57" s="641"/>
      <c r="Q57" s="641"/>
      <c r="R57" s="462" t="s">
        <v>462</v>
      </c>
      <c r="S57" s="462">
        <v>251</v>
      </c>
      <c r="T57" s="473">
        <f>H57</f>
        <v>1047</v>
      </c>
      <c r="U57" s="487">
        <f>ROUND(P57*T57,2)</f>
        <v>0</v>
      </c>
      <c r="V57" s="438"/>
    </row>
    <row r="58" spans="1:22" x14ac:dyDescent="0.25">
      <c r="A58" s="607"/>
      <c r="B58" s="607"/>
      <c r="C58" s="143">
        <v>1.5</v>
      </c>
      <c r="D58" s="143">
        <v>0.91</v>
      </c>
      <c r="E58" s="116">
        <f t="shared" si="10"/>
        <v>2.41</v>
      </c>
      <c r="F58" s="456" t="s">
        <v>462</v>
      </c>
      <c r="G58" s="456">
        <v>252</v>
      </c>
      <c r="H58" s="470">
        <f>'1461'!H58</f>
        <v>3380</v>
      </c>
      <c r="I58" s="101">
        <f t="shared" ref="I58:I65" si="11">ROUND(E58*H58,2)</f>
        <v>8145.8</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0.51</v>
      </c>
      <c r="E59" s="116">
        <f t="shared" si="10"/>
        <v>0.51</v>
      </c>
      <c r="F59" s="456" t="s">
        <v>462</v>
      </c>
      <c r="G59" s="456">
        <v>253</v>
      </c>
      <c r="H59" s="470">
        <f>'1461'!H59</f>
        <v>6896</v>
      </c>
      <c r="I59" s="101">
        <f t="shared" si="11"/>
        <v>3516.96</v>
      </c>
      <c r="N59" s="639"/>
      <c r="O59" s="639"/>
      <c r="P59" s="642"/>
      <c r="Q59" s="642"/>
      <c r="R59" s="462" t="s">
        <v>462</v>
      </c>
      <c r="S59" s="462">
        <v>253</v>
      </c>
      <c r="T59" s="473">
        <f t="shared" si="12"/>
        <v>6896</v>
      </c>
      <c r="U59" s="487">
        <f t="shared" si="13"/>
        <v>0</v>
      </c>
      <c r="V59" s="438"/>
    </row>
    <row r="60" spans="1:22" x14ac:dyDescent="0.25">
      <c r="A60" s="607"/>
      <c r="B60" s="607"/>
      <c r="C60" s="143">
        <v>26.77</v>
      </c>
      <c r="D60" s="143">
        <v>25.54</v>
      </c>
      <c r="E60" s="116">
        <f t="shared" si="10"/>
        <v>52.31</v>
      </c>
      <c r="F60" s="457" t="s">
        <v>13</v>
      </c>
      <c r="G60" s="456">
        <v>251</v>
      </c>
      <c r="H60" s="470">
        <f>'1461'!H60</f>
        <v>1173</v>
      </c>
      <c r="I60" s="101">
        <f t="shared" si="11"/>
        <v>61359.63</v>
      </c>
      <c r="N60" s="639"/>
      <c r="O60" s="639"/>
      <c r="P60" s="642"/>
      <c r="Q60" s="642"/>
      <c r="R60" s="40" t="s">
        <v>13</v>
      </c>
      <c r="S60" s="462">
        <v>251</v>
      </c>
      <c r="T60" s="473">
        <f t="shared" si="12"/>
        <v>1173</v>
      </c>
      <c r="U60" s="487">
        <f t="shared" si="13"/>
        <v>0</v>
      </c>
      <c r="V60" s="438"/>
    </row>
    <row r="61" spans="1:22" x14ac:dyDescent="0.25">
      <c r="A61" s="607"/>
      <c r="B61" s="607"/>
      <c r="C61" s="143">
        <v>1.52</v>
      </c>
      <c r="D61" s="143">
        <v>3.01</v>
      </c>
      <c r="E61" s="116">
        <f t="shared" si="10"/>
        <v>4.5299999999999994</v>
      </c>
      <c r="F61" s="457" t="s">
        <v>13</v>
      </c>
      <c r="G61" s="456">
        <v>252</v>
      </c>
      <c r="H61" s="470">
        <f>'1461'!H61</f>
        <v>3506</v>
      </c>
      <c r="I61" s="101">
        <f t="shared" si="11"/>
        <v>15882.18</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IF(D$66=0,C62*2,C62+D62)</f>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39.32</v>
      </c>
      <c r="D66" s="97">
        <f>SUM(D57:D65)</f>
        <v>41.699999999999996</v>
      </c>
      <c r="E66" s="97">
        <f>SUM(E57:E65)</f>
        <v>81.02000000000001</v>
      </c>
      <c r="F66" s="608" t="s">
        <v>471</v>
      </c>
      <c r="G66" s="608"/>
      <c r="H66" s="608"/>
      <c r="I66" s="97">
        <f>SUM(I57:I65)</f>
        <v>111163.79000000001</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849.1</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4.189E-3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914.86310000000014</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4.0109999999999998E-3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849.1</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4.548E-3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849.1</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4.1960000000000001E-3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849.1</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4.5560000000000002E-3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4.1960000000000001E-3</v>
      </c>
      <c r="I85" s="101">
        <f>ROUND(F85*H85,2)</f>
        <v>186733.1</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4.189E-3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4.5560000000000002E-3</v>
      </c>
      <c r="I90" s="101">
        <f>ROUND(F90*H90,2)</f>
        <v>74304.570000000007</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4.548E-3</v>
      </c>
      <c r="I92" s="101">
        <f t="shared" ref="I92:I96" si="14">ROUND(F92*H92,2)</f>
        <v>46156.08</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4.0109999999999998E-3</v>
      </c>
      <c r="I94" s="101">
        <f t="shared" si="14"/>
        <v>958619.67</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4.0109999999999998E-3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4.189E-3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443.1223</v>
      </c>
      <c r="D104" s="614"/>
      <c r="E104" s="46">
        <f>H8</f>
        <v>1.0442</v>
      </c>
      <c r="F104" s="302">
        <f>'1461'!F104</f>
        <v>947.59</v>
      </c>
      <c r="G104" s="39" t="s">
        <v>12</v>
      </c>
      <c r="H104" s="101">
        <f>ROUND(C104*E104*F104,2)</f>
        <v>438457.76</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471.74079999999998</v>
      </c>
      <c r="D105" s="614"/>
      <c r="E105" s="46">
        <f>H8</f>
        <v>1.0442</v>
      </c>
      <c r="F105" s="302">
        <f>'1461'!F105</f>
        <v>904.74</v>
      </c>
      <c r="G105" s="39" t="s">
        <v>12</v>
      </c>
      <c r="H105" s="101">
        <f>ROUND(C105*E105*F105,2)</f>
        <v>445667.45</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914.86310000000003</v>
      </c>
      <c r="D107" s="604"/>
      <c r="E107" s="123"/>
      <c r="F107" s="123"/>
      <c r="G107" s="123"/>
      <c r="H107" s="124" t="s">
        <v>100</v>
      </c>
      <c r="I107" s="101">
        <f>IF(A1=75,0,H106+H105+H104)</f>
        <v>884125.21</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4</v>
      </c>
      <c r="D113" s="143">
        <v>1</v>
      </c>
      <c r="E113" s="116">
        <f>(C113+D113)/2</f>
        <v>2.5</v>
      </c>
      <c r="F113" s="126" t="s">
        <v>30</v>
      </c>
      <c r="G113" s="303">
        <f>'1461'!G113</f>
        <v>536</v>
      </c>
      <c r="I113" s="101">
        <f>ROUND(G113*E113,2)</f>
        <v>1340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7172426.7400000002</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6887978.2200000007</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6887978.2200000007</v>
      </c>
      <c r="I135" s="94">
        <f>ROUND(IF(E30=0,0,IF(E30&gt;250,-(((250/E30)*H135)*IF(G135="H",0.02,0.05)),IF(G135="H",-0.02*H135,-0.05*H135))),2)</f>
        <v>-101401.16</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7071025.5800000001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-7059274.1199999992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11751.460000000894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11751.46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242997.75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350</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J10" s="253"/>
      <c r="K10" s="65"/>
      <c r="L10" s="65"/>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J11" s="255"/>
      <c r="K11" s="254"/>
      <c r="L11" s="254"/>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J12" s="253"/>
      <c r="K12" s="254"/>
      <c r="L12" s="254"/>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K13" s="254"/>
      <c r="L13" s="254"/>
      <c r="N13" s="675" t="s">
        <v>36</v>
      </c>
      <c r="O13" s="675"/>
      <c r="P13" s="676" t="s">
        <v>37</v>
      </c>
      <c r="Q13" s="676"/>
      <c r="R13" s="677" t="s">
        <v>38</v>
      </c>
      <c r="S13" s="677"/>
      <c r="T13" s="22" t="s">
        <v>39</v>
      </c>
      <c r="U13" s="23" t="s">
        <v>40</v>
      </c>
    </row>
    <row r="14" spans="1:21" x14ac:dyDescent="0.25">
      <c r="A14" s="594" t="s">
        <v>20</v>
      </c>
      <c r="B14" s="594"/>
      <c r="C14" s="143">
        <v>189.98</v>
      </c>
      <c r="D14" s="141">
        <v>190.75</v>
      </c>
      <c r="E14" s="187">
        <f>IF(D$30=0,C14*2,C14+D14)</f>
        <v>380.73</v>
      </c>
      <c r="F14" s="687">
        <f>'1461'!F14:G14</f>
        <v>1.1220000000000001</v>
      </c>
      <c r="G14" s="687"/>
      <c r="H14" s="145">
        <f>ROUND(E14*F14,4)</f>
        <v>427.17910000000001</v>
      </c>
      <c r="I14" s="111">
        <f>ROUND(ROUND(ROUND(H14*$C$8,4)*($H$8),2)*(MAX($H$9,1)),2)</f>
        <v>2292630.1</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12</v>
      </c>
      <c r="D15" s="143">
        <v>12.94</v>
      </c>
      <c r="E15" s="116">
        <f t="shared" ref="E15:E29" si="1">IF(D$30=0,C15*2,C15+D15)</f>
        <v>24.939999999999998</v>
      </c>
      <c r="F15" s="679">
        <f>'1461'!F15:G15</f>
        <v>1.1220000000000001</v>
      </c>
      <c r="G15" s="679"/>
      <c r="H15" s="80">
        <f t="shared" ref="H15:H29" si="2">ROUND(E15*F15,4)</f>
        <v>27.982700000000001</v>
      </c>
      <c r="I15" s="101">
        <f t="shared" ref="I15:I29" si="3">ROUND(ROUND(ROUND(H15*$C$8,4)*($H$8),2)*(MAX($H$9,1)),2)</f>
        <v>150180.51999999999</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225.85</v>
      </c>
      <c r="D16" s="143">
        <v>223.59</v>
      </c>
      <c r="E16" s="116">
        <f t="shared" si="1"/>
        <v>449.44</v>
      </c>
      <c r="F16" s="679">
        <f>'1461'!F16:G16</f>
        <v>1</v>
      </c>
      <c r="G16" s="679"/>
      <c r="H16" s="80">
        <f t="shared" si="2"/>
        <v>449.44</v>
      </c>
      <c r="I16" s="101">
        <f t="shared" si="3"/>
        <v>2412102.2599999998</v>
      </c>
      <c r="N16" s="621" t="s">
        <v>22</v>
      </c>
      <c r="O16" s="621"/>
      <c r="P16" s="662">
        <f t="shared" si="0"/>
        <v>0</v>
      </c>
      <c r="Q16" s="662"/>
      <c r="R16" s="667">
        <v>1</v>
      </c>
      <c r="S16" s="667"/>
      <c r="T16" s="95">
        <f t="shared" si="4"/>
        <v>0</v>
      </c>
      <c r="U16" s="486">
        <f t="shared" si="5"/>
        <v>0</v>
      </c>
    </row>
    <row r="17" spans="1:21" x14ac:dyDescent="0.25">
      <c r="A17" s="596" t="s">
        <v>23</v>
      </c>
      <c r="B17" s="596"/>
      <c r="C17" s="143">
        <v>29.48</v>
      </c>
      <c r="D17" s="143">
        <v>28.02</v>
      </c>
      <c r="E17" s="116">
        <f t="shared" si="1"/>
        <v>57.5</v>
      </c>
      <c r="F17" s="679">
        <f>'1461'!F17:G17</f>
        <v>1</v>
      </c>
      <c r="G17" s="679"/>
      <c r="H17" s="80">
        <f t="shared" si="2"/>
        <v>57.5</v>
      </c>
      <c r="I17" s="101">
        <f t="shared" si="3"/>
        <v>308597.09999999998</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12.72</v>
      </c>
      <c r="D26" s="143">
        <v>13.59</v>
      </c>
      <c r="E26" s="116">
        <f t="shared" si="1"/>
        <v>26.310000000000002</v>
      </c>
      <c r="F26" s="679">
        <f>'1461'!F26:G26</f>
        <v>1.208</v>
      </c>
      <c r="G26" s="679"/>
      <c r="H26" s="80">
        <f t="shared" si="2"/>
        <v>31.782499999999999</v>
      </c>
      <c r="I26" s="101">
        <f t="shared" si="3"/>
        <v>170573.69</v>
      </c>
      <c r="N26" s="621" t="s">
        <v>85</v>
      </c>
      <c r="O26" s="621"/>
      <c r="P26" s="662">
        <f t="shared" si="0"/>
        <v>0</v>
      </c>
      <c r="Q26" s="662"/>
      <c r="R26" s="667">
        <v>1</v>
      </c>
      <c r="S26" s="667"/>
      <c r="T26" s="95">
        <f t="shared" si="4"/>
        <v>0</v>
      </c>
      <c r="U26" s="486">
        <f t="shared" si="5"/>
        <v>0</v>
      </c>
    </row>
    <row r="27" spans="1:21" x14ac:dyDescent="0.25">
      <c r="A27" s="596" t="s">
        <v>86</v>
      </c>
      <c r="B27" s="596"/>
      <c r="C27" s="143">
        <v>9.01</v>
      </c>
      <c r="D27" s="143">
        <v>7.65</v>
      </c>
      <c r="E27" s="116">
        <f t="shared" si="1"/>
        <v>16.66</v>
      </c>
      <c r="F27" s="679">
        <f>'1461'!F27:G27</f>
        <v>1.208</v>
      </c>
      <c r="G27" s="679"/>
      <c r="H27" s="80">
        <f t="shared" si="2"/>
        <v>20.125299999999999</v>
      </c>
      <c r="I27" s="101">
        <f t="shared" si="3"/>
        <v>108010.59</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479.04</v>
      </c>
      <c r="D30" s="94">
        <f>SUM(D14:D29)</f>
        <v>476.53999999999991</v>
      </c>
      <c r="E30" s="94">
        <f>SUM(E14:E29)</f>
        <v>955.58</v>
      </c>
      <c r="F30" s="600"/>
      <c r="G30" s="600"/>
      <c r="H30" s="99">
        <f>SUM(H14:H29)</f>
        <v>1014.0096000000001</v>
      </c>
      <c r="I30" s="94">
        <f>SUM(I14:I29)</f>
        <v>5442094.2599999998</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1014.0096000000001</v>
      </c>
      <c r="F46" s="34"/>
      <c r="G46" s="106"/>
      <c r="H46" s="107" t="s">
        <v>98</v>
      </c>
      <c r="I46" s="94">
        <f>SUM(I44,I30)</f>
        <v>5442094.2599999998</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5828225.9899999993</v>
      </c>
      <c r="G51" s="109" t="s">
        <v>6</v>
      </c>
      <c r="H51" s="415">
        <v>4.5199999999999997E-2</v>
      </c>
      <c r="I51" s="101">
        <f>ROUND(F51*H51,2)</f>
        <v>263435.81</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5828225.9899999993</v>
      </c>
      <c r="G52" s="109" t="s">
        <v>6</v>
      </c>
      <c r="H52" s="415">
        <v>1.41E-2</v>
      </c>
      <c r="I52" s="101">
        <f>ROUND(F52*H52,2)</f>
        <v>82177.990000000005</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345613.8</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7.5</v>
      </c>
      <c r="D57" s="143">
        <v>6.93</v>
      </c>
      <c r="E57" s="116">
        <f t="shared" ref="E57:E65" si="10">IF(D$66=0,C57*2,C57+D57)</f>
        <v>14.43</v>
      </c>
      <c r="F57" s="456" t="s">
        <v>462</v>
      </c>
      <c r="G57" s="456">
        <v>251</v>
      </c>
      <c r="H57" s="470">
        <f>'1461'!H57</f>
        <v>1047</v>
      </c>
      <c r="I57" s="101">
        <f>ROUND(E57*H57,2)</f>
        <v>15108.21</v>
      </c>
      <c r="N57" s="638" t="s">
        <v>470</v>
      </c>
      <c r="O57" s="638"/>
      <c r="P57" s="641"/>
      <c r="Q57" s="641"/>
      <c r="R57" s="462" t="s">
        <v>462</v>
      </c>
      <c r="S57" s="462">
        <v>251</v>
      </c>
      <c r="T57" s="473">
        <f>H57</f>
        <v>1047</v>
      </c>
      <c r="U57" s="487">
        <f>ROUND(P57*T57,2)</f>
        <v>0</v>
      </c>
      <c r="V57" s="438"/>
    </row>
    <row r="58" spans="1:22" x14ac:dyDescent="0.25">
      <c r="A58" s="607"/>
      <c r="B58" s="607"/>
      <c r="C58" s="143">
        <v>4.5</v>
      </c>
      <c r="D58" s="143">
        <v>6.01</v>
      </c>
      <c r="E58" s="116">
        <f t="shared" si="10"/>
        <v>10.51</v>
      </c>
      <c r="F58" s="456" t="s">
        <v>462</v>
      </c>
      <c r="G58" s="456">
        <v>252</v>
      </c>
      <c r="H58" s="470">
        <f>'1461'!H58</f>
        <v>3380</v>
      </c>
      <c r="I58" s="101">
        <f t="shared" ref="I58:I65" si="11">ROUND(E58*H58,2)</f>
        <v>35523.800000000003</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21.99</v>
      </c>
      <c r="D60" s="143">
        <v>20.51</v>
      </c>
      <c r="E60" s="116">
        <f t="shared" si="10"/>
        <v>42.5</v>
      </c>
      <c r="F60" s="457" t="s">
        <v>13</v>
      </c>
      <c r="G60" s="456">
        <v>251</v>
      </c>
      <c r="H60" s="470">
        <f>'1461'!H60</f>
        <v>1173</v>
      </c>
      <c r="I60" s="101">
        <f t="shared" si="11"/>
        <v>49852.5</v>
      </c>
      <c r="N60" s="639"/>
      <c r="O60" s="639"/>
      <c r="P60" s="642"/>
      <c r="Q60" s="642"/>
      <c r="R60" s="40" t="s">
        <v>13</v>
      </c>
      <c r="S60" s="462">
        <v>251</v>
      </c>
      <c r="T60" s="473">
        <f t="shared" si="12"/>
        <v>1173</v>
      </c>
      <c r="U60" s="487">
        <f t="shared" si="13"/>
        <v>0</v>
      </c>
      <c r="V60" s="438"/>
    </row>
    <row r="61" spans="1:22" x14ac:dyDescent="0.25">
      <c r="A61" s="607"/>
      <c r="B61" s="607"/>
      <c r="C61" s="143">
        <v>7.49</v>
      </c>
      <c r="D61" s="143">
        <v>7.51</v>
      </c>
      <c r="E61" s="116">
        <f t="shared" si="10"/>
        <v>15</v>
      </c>
      <c r="F61" s="457" t="s">
        <v>13</v>
      </c>
      <c r="G61" s="456">
        <v>252</v>
      </c>
      <c r="H61" s="470">
        <f>'1461'!H61</f>
        <v>3506</v>
      </c>
      <c r="I61" s="101">
        <f t="shared" si="11"/>
        <v>52590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41.48</v>
      </c>
      <c r="D66" s="97">
        <f>SUM(D57:D65)</f>
        <v>40.96</v>
      </c>
      <c r="E66" s="97">
        <f>SUM(E57:E65)</f>
        <v>82.44</v>
      </c>
      <c r="F66" s="608" t="s">
        <v>471</v>
      </c>
      <c r="G66" s="608"/>
      <c r="H66" s="608"/>
      <c r="I66" s="97">
        <f>SUM(I57:I65)</f>
        <v>153074.51</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955.58</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4.7149999999999996E-3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1014.0096000000001</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4.4460000000000003E-3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955.58</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5.1180000000000002E-3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955.58</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4.7229999999999998E-3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955.58</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5.1269999999999996E-3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4.7229999999999998E-3</v>
      </c>
      <c r="I85" s="101">
        <f>ROUND(F85*H85,2)</f>
        <v>210186</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4.7149999999999996E-3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5.1269999999999996E-3</v>
      </c>
      <c r="I90" s="101">
        <f>ROUND(F90*H90,2)</f>
        <v>83617.100000000006</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5.1180000000000002E-3</v>
      </c>
      <c r="I92" s="101">
        <f t="shared" ref="I92:I96" si="14">ROUND(F92*H92,2)</f>
        <v>51940.81</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4.4460000000000003E-3</v>
      </c>
      <c r="I94" s="101">
        <f t="shared" si="14"/>
        <v>1062583.6599999999</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4.4460000000000003E-3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4.7149999999999996E-3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486.9443</v>
      </c>
      <c r="D104" s="614"/>
      <c r="E104" s="46">
        <f>H8</f>
        <v>1.0442</v>
      </c>
      <c r="F104" s="302">
        <f>'1461'!F104</f>
        <v>947.59</v>
      </c>
      <c r="G104" s="39" t="s">
        <v>12</v>
      </c>
      <c r="H104" s="101">
        <f>ROUND(C104*E104*F104,2)</f>
        <v>481818.47</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527.06529999999998</v>
      </c>
      <c r="D105" s="614"/>
      <c r="E105" s="46">
        <f>H8</f>
        <v>1.0442</v>
      </c>
      <c r="F105" s="302">
        <f>'1461'!F105</f>
        <v>904.74</v>
      </c>
      <c r="G105" s="39" t="s">
        <v>12</v>
      </c>
      <c r="H105" s="101">
        <f>ROUND(C105*E105*F105,2)</f>
        <v>497934.14</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1014.0096</v>
      </c>
      <c r="D107" s="604"/>
      <c r="E107" s="123"/>
      <c r="F107" s="123"/>
      <c r="G107" s="123"/>
      <c r="H107" s="124" t="s">
        <v>100</v>
      </c>
      <c r="I107" s="101">
        <f>IF(A1=75,0,H106+H105+H104)</f>
        <v>979752.61</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160</v>
      </c>
      <c r="D113" s="143">
        <v>172</v>
      </c>
      <c r="E113" s="116">
        <f>(C113+D113)/2</f>
        <v>166</v>
      </c>
      <c r="F113" s="126" t="s">
        <v>30</v>
      </c>
      <c r="G113" s="303">
        <f>'1461'!G113</f>
        <v>536</v>
      </c>
      <c r="I113" s="101">
        <f>ROUND(G113*E113,2)</f>
        <v>88976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8072224.9499999993</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7726611.1499999994</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7726611.1499999994</v>
      </c>
      <c r="I135" s="94">
        <f>ROUND(IF(E30=0,0,IF(E30&gt;250,-(((250/E30)*H135)*IF(G135="H",0.02,0.05)),IF(G135="H",-0.02*H135,-0.05*H135))),2)</f>
        <v>-40428.910000000003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8031796.0399999991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Payments'!Q114</f>
        <v>-8036314.1699999999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-4518.1300000008196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-4518.13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114103.31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244</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42.83</v>
      </c>
      <c r="D14" s="141">
        <v>40.729999999999997</v>
      </c>
      <c r="E14" s="187">
        <f>IF(D$30=0,C14*2,C14+D14)</f>
        <v>83.56</v>
      </c>
      <c r="F14" s="687">
        <f>'1461'!F14:G14</f>
        <v>1.1220000000000001</v>
      </c>
      <c r="G14" s="687"/>
      <c r="H14" s="145">
        <f>ROUND(E14*F14,4)</f>
        <v>93.754300000000001</v>
      </c>
      <c r="I14" s="111">
        <f>ROUND(ROUND(ROUND(H14*$C$8,4)*($H$8),2)*(MAX($H$9,1)),2)</f>
        <v>503170.52</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3.5</v>
      </c>
      <c r="D15" s="143">
        <v>3.5</v>
      </c>
      <c r="E15" s="116">
        <f t="shared" ref="E15:E29" si="1">IF(D$30=0,C15*2,C15+D15)</f>
        <v>7</v>
      </c>
      <c r="F15" s="679">
        <f>'1461'!F15:G15</f>
        <v>1.1220000000000001</v>
      </c>
      <c r="G15" s="679"/>
      <c r="H15" s="80">
        <f t="shared" ref="H15:H29" si="2">ROUND(E15*F15,4)</f>
        <v>7.8540000000000001</v>
      </c>
      <c r="I15" s="101">
        <f t="shared" ref="I15:I29" si="3">ROUND(ROUND(ROUND(H15*$C$8,4)*($H$8),2)*(MAX($H$9,1)),2)</f>
        <v>42151.68</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68.25</v>
      </c>
      <c r="D16" s="143">
        <v>74.14</v>
      </c>
      <c r="E16" s="116">
        <f t="shared" si="1"/>
        <v>142.38999999999999</v>
      </c>
      <c r="F16" s="679">
        <f>'1461'!F16:G16</f>
        <v>1</v>
      </c>
      <c r="G16" s="679"/>
      <c r="H16" s="80">
        <f t="shared" si="2"/>
        <v>142.38999999999999</v>
      </c>
      <c r="I16" s="101">
        <f t="shared" si="3"/>
        <v>764193.75</v>
      </c>
      <c r="N16" s="621" t="s">
        <v>22</v>
      </c>
      <c r="O16" s="621"/>
      <c r="P16" s="662">
        <f t="shared" si="0"/>
        <v>0</v>
      </c>
      <c r="Q16" s="662"/>
      <c r="R16" s="667">
        <v>1</v>
      </c>
      <c r="S16" s="667"/>
      <c r="T16" s="95">
        <f t="shared" si="4"/>
        <v>0</v>
      </c>
      <c r="U16" s="486">
        <f t="shared" si="5"/>
        <v>0</v>
      </c>
    </row>
    <row r="17" spans="1:21" x14ac:dyDescent="0.25">
      <c r="A17" s="596" t="s">
        <v>23</v>
      </c>
      <c r="B17" s="596"/>
      <c r="C17" s="143">
        <v>13.03</v>
      </c>
      <c r="D17" s="143">
        <v>11.5</v>
      </c>
      <c r="E17" s="116">
        <f t="shared" si="1"/>
        <v>24.53</v>
      </c>
      <c r="F17" s="679">
        <f>'1461'!F17:G17</f>
        <v>1</v>
      </c>
      <c r="G17" s="679"/>
      <c r="H17" s="80">
        <f t="shared" si="2"/>
        <v>24.53</v>
      </c>
      <c r="I17" s="101">
        <f t="shared" si="3"/>
        <v>131650.21</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7.23</v>
      </c>
      <c r="D26" s="143">
        <v>6.81</v>
      </c>
      <c r="E26" s="116">
        <f t="shared" si="1"/>
        <v>14.04</v>
      </c>
      <c r="F26" s="679">
        <f>'1461'!F26:G26</f>
        <v>1.208</v>
      </c>
      <c r="G26" s="679"/>
      <c r="H26" s="80">
        <f t="shared" si="2"/>
        <v>16.9603</v>
      </c>
      <c r="I26" s="101">
        <f t="shared" si="3"/>
        <v>91024.34</v>
      </c>
      <c r="N26" s="621" t="s">
        <v>85</v>
      </c>
      <c r="O26" s="621"/>
      <c r="P26" s="662">
        <f t="shared" si="0"/>
        <v>0</v>
      </c>
      <c r="Q26" s="662"/>
      <c r="R26" s="667">
        <v>1</v>
      </c>
      <c r="S26" s="667"/>
      <c r="T26" s="95">
        <f t="shared" si="4"/>
        <v>0</v>
      </c>
      <c r="U26" s="486">
        <f t="shared" si="5"/>
        <v>0</v>
      </c>
    </row>
    <row r="27" spans="1:21" x14ac:dyDescent="0.25">
      <c r="A27" s="596" t="s">
        <v>86</v>
      </c>
      <c r="B27" s="596"/>
      <c r="C27" s="143">
        <v>3.29</v>
      </c>
      <c r="D27" s="143">
        <v>3.29</v>
      </c>
      <c r="E27" s="116">
        <f t="shared" si="1"/>
        <v>6.58</v>
      </c>
      <c r="F27" s="679">
        <f>'1461'!F27:G27</f>
        <v>1.208</v>
      </c>
      <c r="G27" s="679"/>
      <c r="H27" s="80">
        <f t="shared" si="2"/>
        <v>7.9485999999999999</v>
      </c>
      <c r="I27" s="101">
        <f t="shared" si="3"/>
        <v>42659.39</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138.13</v>
      </c>
      <c r="D30" s="94">
        <f>SUM(D14:D29)</f>
        <v>139.97</v>
      </c>
      <c r="E30" s="94">
        <f>SUM(E14:E29)</f>
        <v>278.10000000000002</v>
      </c>
      <c r="F30" s="600"/>
      <c r="G30" s="600"/>
      <c r="H30" s="99">
        <f>SUM(H14:H29)</f>
        <v>293.43719999999996</v>
      </c>
      <c r="I30" s="94">
        <f>SUM(I14:I29)</f>
        <v>1574849.8900000001</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42">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44">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44">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44">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44">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36">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293.43719999999996</v>
      </c>
      <c r="F46" s="34"/>
      <c r="G46" s="106"/>
      <c r="H46" s="107" t="s">
        <v>98</v>
      </c>
      <c r="I46" s="94">
        <f>SUM(I44,I30)</f>
        <v>1574849.8900000001</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1597318.9800000002</v>
      </c>
      <c r="G51" s="109" t="s">
        <v>6</v>
      </c>
      <c r="H51" s="415">
        <v>4.5199999999999997E-2</v>
      </c>
      <c r="I51" s="101">
        <f>ROUND(F51*H51,2)</f>
        <v>72198.820000000007</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1597318.9800000002</v>
      </c>
      <c r="G52" s="109" t="s">
        <v>6</v>
      </c>
      <c r="H52" s="415">
        <v>1.41E-2</v>
      </c>
      <c r="I52" s="101">
        <f>ROUND(F52*H52,2)</f>
        <v>22522.2</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94721.02</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1.5</v>
      </c>
      <c r="D57" s="143">
        <v>1.48</v>
      </c>
      <c r="E57" s="116">
        <f t="shared" ref="E57:E65" si="10">IF(D$66=0,C57*2,C57+D57)</f>
        <v>2.98</v>
      </c>
      <c r="F57" s="456" t="s">
        <v>462</v>
      </c>
      <c r="G57" s="456">
        <v>251</v>
      </c>
      <c r="H57" s="470">
        <f>'1461'!H57</f>
        <v>1047</v>
      </c>
      <c r="I57" s="101">
        <f>ROUND(E57*H57,2)</f>
        <v>3120.06</v>
      </c>
      <c r="N57" s="638" t="s">
        <v>470</v>
      </c>
      <c r="O57" s="638"/>
      <c r="P57" s="641"/>
      <c r="Q57" s="641"/>
      <c r="R57" s="462" t="s">
        <v>462</v>
      </c>
      <c r="S57" s="462">
        <v>251</v>
      </c>
      <c r="T57" s="473">
        <f>H57</f>
        <v>1047</v>
      </c>
      <c r="U57" s="487">
        <f>ROUND(P57*T57,2)</f>
        <v>0</v>
      </c>
      <c r="V57" s="438"/>
    </row>
    <row r="58" spans="1:22" x14ac:dyDescent="0.25">
      <c r="A58" s="607"/>
      <c r="B58" s="607"/>
      <c r="C58" s="143">
        <v>2</v>
      </c>
      <c r="D58" s="143">
        <v>2.02</v>
      </c>
      <c r="E58" s="116">
        <f t="shared" si="10"/>
        <v>4.0199999999999996</v>
      </c>
      <c r="F58" s="456" t="s">
        <v>462</v>
      </c>
      <c r="G58" s="456">
        <v>252</v>
      </c>
      <c r="H58" s="470">
        <f>'1461'!H58</f>
        <v>3380</v>
      </c>
      <c r="I58" s="101">
        <f t="shared" ref="I58:I65" si="11">ROUND(E58*H58,2)</f>
        <v>13587.6</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12.53</v>
      </c>
      <c r="D60" s="143">
        <v>10.59</v>
      </c>
      <c r="E60" s="116">
        <f t="shared" si="10"/>
        <v>23.119999999999997</v>
      </c>
      <c r="F60" s="457" t="s">
        <v>13</v>
      </c>
      <c r="G60" s="456">
        <v>251</v>
      </c>
      <c r="H60" s="470">
        <f>'1461'!H60</f>
        <v>1173</v>
      </c>
      <c r="I60" s="101">
        <f t="shared" si="11"/>
        <v>27119.759999999998</v>
      </c>
      <c r="N60" s="639"/>
      <c r="O60" s="639"/>
      <c r="P60" s="642"/>
      <c r="Q60" s="642"/>
      <c r="R60" s="40" t="s">
        <v>13</v>
      </c>
      <c r="S60" s="462">
        <v>251</v>
      </c>
      <c r="T60" s="473">
        <f t="shared" si="12"/>
        <v>1173</v>
      </c>
      <c r="U60" s="487">
        <f t="shared" si="13"/>
        <v>0</v>
      </c>
      <c r="V60" s="438"/>
    </row>
    <row r="61" spans="1:22" x14ac:dyDescent="0.25">
      <c r="A61" s="607"/>
      <c r="B61" s="607"/>
      <c r="C61" s="143">
        <v>0.5</v>
      </c>
      <c r="D61" s="143">
        <v>0.91</v>
      </c>
      <c r="E61" s="116">
        <f t="shared" si="10"/>
        <v>1.4100000000000001</v>
      </c>
      <c r="F61" s="457" t="s">
        <v>13</v>
      </c>
      <c r="G61" s="456">
        <v>252</v>
      </c>
      <c r="H61" s="470">
        <f>'1461'!H61</f>
        <v>3506</v>
      </c>
      <c r="I61" s="101">
        <f t="shared" si="11"/>
        <v>4943.46</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16.53</v>
      </c>
      <c r="D66" s="97">
        <f>SUM(D57:D65)</f>
        <v>15</v>
      </c>
      <c r="E66" s="97">
        <f>SUM(E57:E65)</f>
        <v>31.529999999999998</v>
      </c>
      <c r="F66" s="608" t="s">
        <v>471</v>
      </c>
      <c r="G66" s="608"/>
      <c r="H66" s="608"/>
      <c r="I66" s="97">
        <f>SUM(I57:I65)</f>
        <v>48770.879999999997</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278.10000000000002</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1.372E-3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293.43719999999996</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1.2869999999999999E-3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278.10000000000002</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1.4890000000000001E-3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278.10000000000002</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1.374E-3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278.10000000000002</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1.4920000000000001E-3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1.374E-3</v>
      </c>
      <c r="I85" s="101">
        <f>ROUND(F85*H85,2)</f>
        <v>61146.64</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53"/>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1.372E-3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1.4920000000000001E-3</v>
      </c>
      <c r="I90" s="101">
        <f>ROUND(F90*H90,2)</f>
        <v>24333.279999999999</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1.4890000000000001E-3</v>
      </c>
      <c r="I92" s="101">
        <f t="shared" ref="I92:I96" si="14">ROUND(F92*H92,2)</f>
        <v>15111.35</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1.2869999999999999E-3</v>
      </c>
      <c r="I94" s="101">
        <f t="shared" si="14"/>
        <v>307590.01</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1.2869999999999999E-3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v>-1</v>
      </c>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1.372E-3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118.5686</v>
      </c>
      <c r="D104" s="614"/>
      <c r="E104" s="46">
        <f>H8</f>
        <v>1.0442</v>
      </c>
      <c r="F104" s="302">
        <f>'1461'!F104</f>
        <v>947.59</v>
      </c>
      <c r="G104" s="39" t="s">
        <v>12</v>
      </c>
      <c r="H104" s="101">
        <f>ROUND(C104*E104*F104,2)</f>
        <v>117320.49</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174.86859999999999</v>
      </c>
      <c r="D105" s="614"/>
      <c r="E105" s="46">
        <f>H8</f>
        <v>1.0442</v>
      </c>
      <c r="F105" s="302">
        <f>'1461'!F105</f>
        <v>904.74</v>
      </c>
      <c r="G105" s="39" t="s">
        <v>12</v>
      </c>
      <c r="H105" s="101">
        <f>ROUND(C105*E105*F105,2)</f>
        <v>165203.53</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293.43719999999996</v>
      </c>
      <c r="D107" s="604"/>
      <c r="E107" s="123"/>
      <c r="F107" s="123"/>
      <c r="G107" s="123"/>
      <c r="H107" s="124" t="s">
        <v>100</v>
      </c>
      <c r="I107" s="101">
        <f>IF(A1=75,0,H106+H105+H104)</f>
        <v>282524.02</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60</v>
      </c>
      <c r="D113" s="143">
        <v>57</v>
      </c>
      <c r="E113" s="144">
        <f>(C113+D113)/2</f>
        <v>58.5</v>
      </c>
      <c r="F113" s="126" t="s">
        <v>30</v>
      </c>
      <c r="G113" s="303">
        <f>'1461'!G113</f>
        <v>536</v>
      </c>
      <c r="I113" s="101">
        <f>ROUND(G113*E113,2)</f>
        <v>31356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44">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42">
        <f>IF(D30=0,C121*2,C121+D121)</f>
        <v>0</v>
      </c>
      <c r="F121" s="696">
        <v>0</v>
      </c>
      <c r="G121" s="696"/>
      <c r="H121" s="61">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44">
        <f>IF(D31=0,C122*2,C122+D122)</f>
        <v>0</v>
      </c>
      <c r="F122" s="616">
        <f>ROUND(F121/2,2)</f>
        <v>0</v>
      </c>
      <c r="G122" s="616"/>
      <c r="H122" s="61">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44">
        <f>IF(D32=0,C123*2,C123+D123)</f>
        <v>0</v>
      </c>
      <c r="F123" s="617"/>
      <c r="G123" s="617"/>
      <c r="H123" s="63">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2345682.0700000003</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2250961.0500000003</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2250961.0500000003</v>
      </c>
      <c r="I135" s="94">
        <f>ROUND(IF(E30=0,0,IF(E30&gt;250,-(((250/E30)*H135)*IF(G135="H",0.02,0.05)),IF(G135="H",-0.02*H135,-0.05*H135))),2)</f>
        <v>-101175.88</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2244506.1900000004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Payments'!Q115</f>
        <v>-2245515.81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-1009.6199999996461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-1009.62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11372.17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236</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43.69</v>
      </c>
      <c r="D18" s="143">
        <v>53.01</v>
      </c>
      <c r="E18" s="116">
        <f t="shared" si="1"/>
        <v>96.699999999999989</v>
      </c>
      <c r="F18" s="679">
        <f>'1461'!F18:G18</f>
        <v>0.98799999999999999</v>
      </c>
      <c r="G18" s="679"/>
      <c r="H18" s="80">
        <f t="shared" si="2"/>
        <v>95.539599999999993</v>
      </c>
      <c r="I18" s="101">
        <f t="shared" si="3"/>
        <v>512752.06</v>
      </c>
      <c r="N18" s="621" t="s">
        <v>24</v>
      </c>
      <c r="O18" s="621"/>
      <c r="P18" s="662">
        <f t="shared" si="0"/>
        <v>0</v>
      </c>
      <c r="Q18" s="662"/>
      <c r="R18" s="667">
        <v>1</v>
      </c>
      <c r="S18" s="667"/>
      <c r="T18" s="95">
        <f t="shared" si="4"/>
        <v>0</v>
      </c>
      <c r="U18" s="486">
        <f t="shared" si="5"/>
        <v>0</v>
      </c>
    </row>
    <row r="19" spans="1:21" x14ac:dyDescent="0.25">
      <c r="A19" s="596" t="s">
        <v>25</v>
      </c>
      <c r="B19" s="596"/>
      <c r="C19" s="143">
        <v>10.99</v>
      </c>
      <c r="D19" s="143">
        <v>9</v>
      </c>
      <c r="E19" s="116">
        <f t="shared" si="1"/>
        <v>19.990000000000002</v>
      </c>
      <c r="F19" s="679">
        <f>'1461'!F19:G19</f>
        <v>0.98799999999999999</v>
      </c>
      <c r="G19" s="679"/>
      <c r="H19" s="80">
        <f t="shared" si="2"/>
        <v>19.7501</v>
      </c>
      <c r="I19" s="101">
        <f t="shared" si="3"/>
        <v>105996.93</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0.5</v>
      </c>
      <c r="D25" s="143">
        <v>0.5</v>
      </c>
      <c r="E25" s="116">
        <f t="shared" si="1"/>
        <v>1</v>
      </c>
      <c r="F25" s="679">
        <f>'1461'!F25:G25</f>
        <v>5.7069999999999999</v>
      </c>
      <c r="G25" s="679"/>
      <c r="H25" s="80">
        <f t="shared" si="2"/>
        <v>5.7069999999999999</v>
      </c>
      <c r="I25" s="101">
        <f t="shared" si="3"/>
        <v>30628.93</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1.04</v>
      </c>
      <c r="D28" s="143">
        <v>1.77</v>
      </c>
      <c r="E28" s="116">
        <f t="shared" si="1"/>
        <v>2.81</v>
      </c>
      <c r="F28" s="679">
        <f>'1461'!F28:G28</f>
        <v>1.208</v>
      </c>
      <c r="G28" s="679"/>
      <c r="H28" s="80">
        <f t="shared" si="2"/>
        <v>3.3944999999999999</v>
      </c>
      <c r="I28" s="101">
        <f t="shared" si="3"/>
        <v>18217.96</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56.22</v>
      </c>
      <c r="D30" s="94">
        <f>SUM(D14:D29)</f>
        <v>64.28</v>
      </c>
      <c r="E30" s="94">
        <f>SUM(E14:E29)</f>
        <v>120.5</v>
      </c>
      <c r="F30" s="600"/>
      <c r="G30" s="600"/>
      <c r="H30" s="99">
        <f>SUM(H14:H29)</f>
        <v>124.39119999999998</v>
      </c>
      <c r="I30" s="94">
        <f>SUM(I14:I29)</f>
        <v>667595.88</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42">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44">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44">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44">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44">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36">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124.39119999999998</v>
      </c>
      <c r="F46" s="34"/>
      <c r="G46" s="106"/>
      <c r="H46" s="107" t="s">
        <v>98</v>
      </c>
      <c r="I46" s="94">
        <f>SUM(I44,I30)</f>
        <v>667595.88</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753249.55999999994</v>
      </c>
      <c r="G51" s="109" t="s">
        <v>6</v>
      </c>
      <c r="H51" s="415">
        <v>4.5199999999999997E-2</v>
      </c>
      <c r="I51" s="101">
        <f>ROUND(F51*H51,2)</f>
        <v>34046.879999999997</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753249.55999999994</v>
      </c>
      <c r="G52" s="109" t="s">
        <v>6</v>
      </c>
      <c r="H52" s="415">
        <v>1.41E-2</v>
      </c>
      <c r="I52" s="101">
        <f>ROUND(F52*H52,2)</f>
        <v>10620.82</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44667.7</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10.49</v>
      </c>
      <c r="D63" s="143">
        <v>9</v>
      </c>
      <c r="E63" s="116">
        <f t="shared" si="10"/>
        <v>19.490000000000002</v>
      </c>
      <c r="F63" s="457" t="s">
        <v>14</v>
      </c>
      <c r="G63" s="456">
        <v>251</v>
      </c>
      <c r="H63" s="470">
        <f>'1461'!H63</f>
        <v>835</v>
      </c>
      <c r="I63" s="101">
        <f t="shared" si="11"/>
        <v>16274.15</v>
      </c>
      <c r="N63" s="639"/>
      <c r="O63" s="639"/>
      <c r="P63" s="642"/>
      <c r="Q63" s="642"/>
      <c r="R63" s="40" t="s">
        <v>14</v>
      </c>
      <c r="S63" s="462">
        <v>251</v>
      </c>
      <c r="T63" s="473">
        <f t="shared" si="12"/>
        <v>835</v>
      </c>
      <c r="U63" s="487">
        <f t="shared" si="13"/>
        <v>0</v>
      </c>
      <c r="V63" s="438"/>
    </row>
    <row r="64" spans="1:22" x14ac:dyDescent="0.25">
      <c r="A64" s="607"/>
      <c r="B64" s="607"/>
      <c r="C64" s="143">
        <v>0.5</v>
      </c>
      <c r="D64" s="143">
        <v>0</v>
      </c>
      <c r="E64" s="116">
        <f t="shared" si="10"/>
        <v>0.5</v>
      </c>
      <c r="F64" s="457" t="s">
        <v>14</v>
      </c>
      <c r="G64" s="456">
        <v>252</v>
      </c>
      <c r="H64" s="470">
        <f>'1461'!H64</f>
        <v>3168</v>
      </c>
      <c r="I64" s="101">
        <f t="shared" si="11"/>
        <v>1584</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10.99</v>
      </c>
      <c r="D66" s="97">
        <f>SUM(D57:D65)</f>
        <v>9</v>
      </c>
      <c r="E66" s="97">
        <f>SUM(E57:E65)</f>
        <v>19.990000000000002</v>
      </c>
      <c r="F66" s="608" t="s">
        <v>471</v>
      </c>
      <c r="G66" s="608"/>
      <c r="H66" s="608"/>
      <c r="I66" s="97">
        <f>SUM(I57:I65)</f>
        <v>17858.150000000001</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120.5</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5.9500000000000004E-4</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124.39119999999998</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5.4500000000000002E-4</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120.5</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6.4499999999999996E-4</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120.5</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5.9599999999999996E-4</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120.5</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6.4700000000000001E-4</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5.9599999999999996E-4</v>
      </c>
      <c r="I85" s="101">
        <f>ROUND(F85*H85,2)</f>
        <v>26523.58</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53"/>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5.9500000000000004E-4</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6.4700000000000001E-4</v>
      </c>
      <c r="I90" s="101">
        <f>ROUND(F90*H90,2)</f>
        <v>10552.03</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6.4499999999999996E-4</v>
      </c>
      <c r="I92" s="101">
        <f t="shared" ref="I92:I96" si="14">ROUND(F92*H92,2)</f>
        <v>6545.88</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5.4500000000000002E-4</v>
      </c>
      <c r="I94" s="101">
        <f t="shared" si="14"/>
        <v>130253.73</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5.4500000000000002E-4</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5.9500000000000004E-4</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124.39119999999998</v>
      </c>
      <c r="D106" s="614"/>
      <c r="E106" s="46">
        <f>H8</f>
        <v>1.0442</v>
      </c>
      <c r="F106" s="302">
        <f>'1461'!F106</f>
        <v>906.93</v>
      </c>
      <c r="G106" s="39" t="s">
        <v>12</v>
      </c>
      <c r="H106" s="94">
        <f>ROUND(C106*E106*F106,2)</f>
        <v>117800.49</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124.39119999999998</v>
      </c>
      <c r="D107" s="604"/>
      <c r="E107" s="123"/>
      <c r="F107" s="123"/>
      <c r="G107" s="123"/>
      <c r="H107" s="124" t="s">
        <v>100</v>
      </c>
      <c r="I107" s="101">
        <f>IF(A1=75,0,H106+H105+H104)</f>
        <v>117800.49</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40</v>
      </c>
      <c r="D113" s="143">
        <v>36</v>
      </c>
      <c r="E113" s="144">
        <f>(C113+D113)/2</f>
        <v>38</v>
      </c>
      <c r="F113" s="126" t="s">
        <v>30</v>
      </c>
      <c r="G113" s="303">
        <f>'1461'!G113</f>
        <v>536</v>
      </c>
      <c r="I113" s="101">
        <f>ROUND(G113*E113,2)</f>
        <v>20368</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44">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42">
        <f>IF(D30=0,C121*2,C121+D121)</f>
        <v>0</v>
      </c>
      <c r="F121" s="696">
        <v>0</v>
      </c>
      <c r="G121" s="696"/>
      <c r="H121" s="61">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44">
        <f>IF(D31=0,C122*2,C122+D122)</f>
        <v>0</v>
      </c>
      <c r="F122" s="616">
        <f>ROUND(F121/2,2)</f>
        <v>0</v>
      </c>
      <c r="G122" s="616"/>
      <c r="H122" s="61">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44">
        <f>IF(D32=0,C123*2,C123+D123)</f>
        <v>0</v>
      </c>
      <c r="F123" s="617"/>
      <c r="G123" s="617"/>
      <c r="H123" s="63">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997497.74</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952830.04</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952830.04</v>
      </c>
      <c r="I135" s="94">
        <f>ROUND(IF(E30=0,0,IF(E30&gt;250,-(((250/E30)*H135)*IF(G135="H",0.02,0.05)),IF(G135="H",-0.02*H135,-0.05*H135))),2)</f>
        <v>-47641.5</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949856.24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-950810.21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-953.96999999997206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-953.97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topLeftCell="A25"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273</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125.73</v>
      </c>
      <c r="D16" s="143">
        <v>133.41999999999999</v>
      </c>
      <c r="E16" s="116">
        <f t="shared" si="1"/>
        <v>259.14999999999998</v>
      </c>
      <c r="F16" s="679">
        <f>'1461'!F16:G16</f>
        <v>1</v>
      </c>
      <c r="G16" s="679"/>
      <c r="H16" s="80">
        <f t="shared" si="2"/>
        <v>259.14999999999998</v>
      </c>
      <c r="I16" s="101">
        <f t="shared" si="3"/>
        <v>1390833.71</v>
      </c>
      <c r="N16" s="621" t="s">
        <v>22</v>
      </c>
      <c r="O16" s="621"/>
      <c r="P16" s="662">
        <f t="shared" si="0"/>
        <v>0</v>
      </c>
      <c r="Q16" s="662"/>
      <c r="R16" s="667">
        <v>1</v>
      </c>
      <c r="S16" s="667"/>
      <c r="T16" s="95">
        <f t="shared" si="4"/>
        <v>0</v>
      </c>
      <c r="U16" s="486">
        <f t="shared" si="5"/>
        <v>0</v>
      </c>
    </row>
    <row r="17" spans="1:21" x14ac:dyDescent="0.25">
      <c r="A17" s="596" t="s">
        <v>23</v>
      </c>
      <c r="B17" s="596"/>
      <c r="C17" s="143">
        <v>22.12</v>
      </c>
      <c r="D17" s="143">
        <v>22.84</v>
      </c>
      <c r="E17" s="116">
        <f t="shared" si="1"/>
        <v>44.96</v>
      </c>
      <c r="F17" s="679">
        <f>'1461'!F17:G17</f>
        <v>1</v>
      </c>
      <c r="G17" s="679"/>
      <c r="H17" s="80">
        <f t="shared" si="2"/>
        <v>44.96</v>
      </c>
      <c r="I17" s="101">
        <f t="shared" si="3"/>
        <v>241296.1</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13.53</v>
      </c>
      <c r="D27" s="143">
        <v>16.05</v>
      </c>
      <c r="E27" s="116">
        <f t="shared" si="1"/>
        <v>29.58</v>
      </c>
      <c r="F27" s="679">
        <f>'1461'!F27:G27</f>
        <v>1.208</v>
      </c>
      <c r="G27" s="679"/>
      <c r="H27" s="80">
        <f t="shared" si="2"/>
        <v>35.732599999999998</v>
      </c>
      <c r="I27" s="101">
        <f t="shared" si="3"/>
        <v>191773.51</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161.38</v>
      </c>
      <c r="D30" s="94">
        <f>SUM(D14:D29)</f>
        <v>172.31</v>
      </c>
      <c r="E30" s="94">
        <f>SUM(E14:E29)</f>
        <v>333.68999999999994</v>
      </c>
      <c r="F30" s="600"/>
      <c r="G30" s="600"/>
      <c r="H30" s="99">
        <f>SUM(H14:H29)</f>
        <v>339.84259999999995</v>
      </c>
      <c r="I30" s="94">
        <f>SUM(I14:I29)</f>
        <v>1823903.32</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42">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44">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44">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44">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44">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36">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339.84259999999995</v>
      </c>
      <c r="F46" s="34"/>
      <c r="G46" s="106"/>
      <c r="H46" s="107" t="s">
        <v>98</v>
      </c>
      <c r="I46" s="94">
        <f>SUM(I44,I30)</f>
        <v>1823903.32</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1874905.5499999998</v>
      </c>
      <c r="G51" s="109" t="s">
        <v>6</v>
      </c>
      <c r="H51" s="415">
        <v>4.5199999999999997E-2</v>
      </c>
      <c r="I51" s="101">
        <f>ROUND(F51*H51,2)</f>
        <v>84745.73</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1874905.5499999998</v>
      </c>
      <c r="G52" s="109" t="s">
        <v>6</v>
      </c>
      <c r="H52" s="415">
        <v>1.41E-2</v>
      </c>
      <c r="I52" s="101">
        <f>ROUND(F52*H52,2)</f>
        <v>26436.17</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111181.9</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21.16</v>
      </c>
      <c r="D60" s="143">
        <v>22.34</v>
      </c>
      <c r="E60" s="116">
        <f t="shared" si="10"/>
        <v>43.5</v>
      </c>
      <c r="F60" s="457" t="s">
        <v>13</v>
      </c>
      <c r="G60" s="456">
        <v>251</v>
      </c>
      <c r="H60" s="470">
        <f>'1461'!H60</f>
        <v>1173</v>
      </c>
      <c r="I60" s="101">
        <f t="shared" si="11"/>
        <v>51025.5</v>
      </c>
      <c r="N60" s="639"/>
      <c r="O60" s="639"/>
      <c r="P60" s="642"/>
      <c r="Q60" s="642"/>
      <c r="R60" s="40" t="s">
        <v>13</v>
      </c>
      <c r="S60" s="462">
        <v>251</v>
      </c>
      <c r="T60" s="473">
        <f t="shared" si="12"/>
        <v>1173</v>
      </c>
      <c r="U60" s="487">
        <f t="shared" si="13"/>
        <v>0</v>
      </c>
      <c r="V60" s="438"/>
    </row>
    <row r="61" spans="1:22" x14ac:dyDescent="0.25">
      <c r="A61" s="607"/>
      <c r="B61" s="607"/>
      <c r="C61" s="143">
        <v>0.96</v>
      </c>
      <c r="D61" s="143">
        <v>0.5</v>
      </c>
      <c r="E61" s="116">
        <f t="shared" si="10"/>
        <v>1.46</v>
      </c>
      <c r="F61" s="457" t="s">
        <v>13</v>
      </c>
      <c r="G61" s="456">
        <v>252</v>
      </c>
      <c r="H61" s="470">
        <f>'1461'!H61</f>
        <v>3506</v>
      </c>
      <c r="I61" s="101">
        <f t="shared" si="11"/>
        <v>5118.76</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22.12</v>
      </c>
      <c r="D66" s="97">
        <f>SUM(D57:D65)</f>
        <v>22.84</v>
      </c>
      <c r="E66" s="97">
        <f>SUM(E57:E65)</f>
        <v>44.96</v>
      </c>
      <c r="F66" s="608" t="s">
        <v>471</v>
      </c>
      <c r="G66" s="608"/>
      <c r="H66" s="608"/>
      <c r="I66" s="97">
        <f>SUM(I57:I65)</f>
        <v>56144.26</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333.68999999999994</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1.6459999999999999E-3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339.84259999999995</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1.49E-3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333.68999999999994</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1.787E-3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333.68999999999994</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1.6490000000000001E-3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333.68999999999994</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1.7899999999999999E-3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1.6490000000000001E-3</v>
      </c>
      <c r="I85" s="101">
        <f>ROUND(F85*H85,2)</f>
        <v>73384.86</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53"/>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1.6459999999999999E-3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1.7899999999999999E-3</v>
      </c>
      <c r="I90" s="101">
        <f>ROUND(F90*H90,2)</f>
        <v>29193.41</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1.787E-3</v>
      </c>
      <c r="I92" s="101">
        <f t="shared" ref="I92:I96" si="14">ROUND(F92*H92,2)</f>
        <v>18135.64</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1.49E-3</v>
      </c>
      <c r="I94" s="101">
        <f t="shared" si="14"/>
        <v>356106.53</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1.49E-3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1.6459999999999999E-3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339.84259999999995</v>
      </c>
      <c r="D105" s="614"/>
      <c r="E105" s="46">
        <f>H8</f>
        <v>1.0442</v>
      </c>
      <c r="F105" s="302">
        <f>'1461'!F105</f>
        <v>904.74</v>
      </c>
      <c r="G105" s="39" t="s">
        <v>12</v>
      </c>
      <c r="H105" s="101">
        <f>ROUND(C105*E105*F105,2)</f>
        <v>321059.33</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339.84259999999995</v>
      </c>
      <c r="D107" s="604"/>
      <c r="E107" s="123"/>
      <c r="F107" s="123"/>
      <c r="G107" s="123"/>
      <c r="H107" s="124" t="s">
        <v>100</v>
      </c>
      <c r="I107" s="101">
        <f>IF(A1=75,0,H106+H105+H104)</f>
        <v>321059.33</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1</v>
      </c>
      <c r="D113" s="143">
        <v>0</v>
      </c>
      <c r="E113" s="144">
        <f>(C113+D113)/2</f>
        <v>0.5</v>
      </c>
      <c r="F113" s="126" t="s">
        <v>30</v>
      </c>
      <c r="G113" s="303">
        <f>'1461'!G113</f>
        <v>536</v>
      </c>
      <c r="I113" s="101">
        <f>ROUND(G113*E113,2)</f>
        <v>268</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44">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42">
        <f>IF(D30=0,C121*2,C121+D121)</f>
        <v>0</v>
      </c>
      <c r="F121" s="696">
        <v>0</v>
      </c>
      <c r="G121" s="696"/>
      <c r="H121" s="61">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44">
        <f>IF(D31=0,C122*2,C122+D122)</f>
        <v>0</v>
      </c>
      <c r="F122" s="616">
        <f>ROUND(F121/2,2)</f>
        <v>0</v>
      </c>
      <c r="G122" s="616"/>
      <c r="H122" s="61">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44">
        <f>IF(D32=0,C123*2,C123+D123)</f>
        <v>0</v>
      </c>
      <c r="F123" s="617"/>
      <c r="G123" s="617"/>
      <c r="H123" s="63">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2678195.35</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2567013.4500000002</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540"/>
      <c r="O131" s="540"/>
      <c r="P131" s="540"/>
      <c r="Q131" s="540"/>
      <c r="R131" s="540"/>
      <c r="S131" s="540"/>
      <c r="T131" s="540"/>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2567013.4500000002</v>
      </c>
      <c r="I135" s="94">
        <f>ROUND(IF(E30=0,0,IF(E30&gt;250,-(((250/E30)*H135)*IF(G135="H",0.02,0.05)),IF(G135="H",-0.02*H135,-0.05*H135))),2)</f>
        <v>-96160.11</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2582035.2400000002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-2628883.25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-46848.009999999776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-46848.01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32190.560000000001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topLeftCell="A25" workbookViewId="0">
      <selection activeCell="H74" sqref="H7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272</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98.8</v>
      </c>
      <c r="D14" s="141">
        <v>97.28</v>
      </c>
      <c r="E14" s="187">
        <f>IF(D$30=0,C14*2,C14+D14)</f>
        <v>196.07999999999998</v>
      </c>
      <c r="F14" s="687">
        <f>'1461'!F14:G14</f>
        <v>1.1220000000000001</v>
      </c>
      <c r="G14" s="687"/>
      <c r="H14" s="145">
        <f>ROUND(E14*F14,4)</f>
        <v>220.0018</v>
      </c>
      <c r="I14" s="111">
        <f>ROUND(ROUND(ROUND(H14*$C$8,4)*($H$8),2)*(MAX($H$9,1)),2)</f>
        <v>1180728.99</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8.5</v>
      </c>
      <c r="D15" s="143">
        <v>10.02</v>
      </c>
      <c r="E15" s="116">
        <f t="shared" ref="E15:E29" si="1">IF(D$30=0,C15*2,C15+D15)</f>
        <v>18.52</v>
      </c>
      <c r="F15" s="679">
        <f>'1461'!F15:G15</f>
        <v>1.1220000000000001</v>
      </c>
      <c r="G15" s="679"/>
      <c r="H15" s="80">
        <f t="shared" ref="H15:H29" si="2">ROUND(E15*F15,4)</f>
        <v>20.779399999999999</v>
      </c>
      <c r="I15" s="101">
        <f t="shared" ref="I15:I29" si="3">ROUND(ROUND(ROUND(H15*$C$8,4)*($H$8),2)*(MAX($H$9,1)),2)</f>
        <v>111521.09</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45.1</v>
      </c>
      <c r="D16" s="143">
        <v>45.37</v>
      </c>
      <c r="E16" s="116">
        <f t="shared" si="1"/>
        <v>90.47</v>
      </c>
      <c r="F16" s="679">
        <f>'1461'!F16:G16</f>
        <v>1</v>
      </c>
      <c r="G16" s="679"/>
      <c r="H16" s="80">
        <f t="shared" si="2"/>
        <v>90.47</v>
      </c>
      <c r="I16" s="101">
        <f t="shared" si="3"/>
        <v>485543.99</v>
      </c>
      <c r="N16" s="621" t="s">
        <v>22</v>
      </c>
      <c r="O16" s="621"/>
      <c r="P16" s="662">
        <f t="shared" si="0"/>
        <v>0</v>
      </c>
      <c r="Q16" s="662"/>
      <c r="R16" s="667">
        <v>1</v>
      </c>
      <c r="S16" s="667"/>
      <c r="T16" s="95">
        <f t="shared" si="4"/>
        <v>0</v>
      </c>
      <c r="U16" s="486">
        <f t="shared" si="5"/>
        <v>0</v>
      </c>
    </row>
    <row r="17" spans="1:21" x14ac:dyDescent="0.25">
      <c r="A17" s="596" t="s">
        <v>23</v>
      </c>
      <c r="B17" s="596"/>
      <c r="C17" s="143">
        <v>6.5</v>
      </c>
      <c r="D17" s="143">
        <v>7</v>
      </c>
      <c r="E17" s="116">
        <f t="shared" si="1"/>
        <v>13.5</v>
      </c>
      <c r="F17" s="679">
        <f>'1461'!F17:G17</f>
        <v>1</v>
      </c>
      <c r="G17" s="679"/>
      <c r="H17" s="80">
        <f t="shared" si="2"/>
        <v>13.5</v>
      </c>
      <c r="I17" s="101">
        <f t="shared" si="3"/>
        <v>72453.23</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41.79</v>
      </c>
      <c r="D26" s="143">
        <v>41.81</v>
      </c>
      <c r="E26" s="116">
        <f t="shared" si="1"/>
        <v>83.6</v>
      </c>
      <c r="F26" s="679">
        <f>'1461'!F26:G26</f>
        <v>1.208</v>
      </c>
      <c r="G26" s="679"/>
      <c r="H26" s="80">
        <f t="shared" si="2"/>
        <v>100.9888</v>
      </c>
      <c r="I26" s="101">
        <f t="shared" si="3"/>
        <v>541997.4</v>
      </c>
      <c r="N26" s="621" t="s">
        <v>85</v>
      </c>
      <c r="O26" s="621"/>
      <c r="P26" s="662">
        <f t="shared" si="0"/>
        <v>0</v>
      </c>
      <c r="Q26" s="662"/>
      <c r="R26" s="667">
        <v>1</v>
      </c>
      <c r="S26" s="667"/>
      <c r="T26" s="95">
        <f t="shared" si="4"/>
        <v>0</v>
      </c>
      <c r="U26" s="486">
        <f t="shared" si="5"/>
        <v>0</v>
      </c>
    </row>
    <row r="27" spans="1:21" x14ac:dyDescent="0.25">
      <c r="A27" s="596" t="s">
        <v>86</v>
      </c>
      <c r="B27" s="596"/>
      <c r="C27" s="143">
        <v>7.02</v>
      </c>
      <c r="D27" s="143">
        <v>8.1</v>
      </c>
      <c r="E27" s="116">
        <f t="shared" si="1"/>
        <v>15.12</v>
      </c>
      <c r="F27" s="679">
        <f>'1461'!F27:G27</f>
        <v>1.208</v>
      </c>
      <c r="G27" s="679"/>
      <c r="H27" s="80">
        <f t="shared" si="2"/>
        <v>18.265000000000001</v>
      </c>
      <c r="I27" s="101">
        <f t="shared" si="3"/>
        <v>98026.54</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207.71</v>
      </c>
      <c r="D30" s="94">
        <f>SUM(D14:D29)</f>
        <v>209.57999999999998</v>
      </c>
      <c r="E30" s="94">
        <f>SUM(E14:E29)</f>
        <v>417.28999999999996</v>
      </c>
      <c r="F30" s="600"/>
      <c r="G30" s="600"/>
      <c r="H30" s="99">
        <f>SUM(H14:H29)</f>
        <v>464.005</v>
      </c>
      <c r="I30" s="94">
        <f>SUM(I14:I29)</f>
        <v>2490271.2400000002</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42">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44">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44">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44">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44">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36">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464.005</v>
      </c>
      <c r="F46" s="34"/>
      <c r="G46" s="106"/>
      <c r="H46" s="107" t="s">
        <v>98</v>
      </c>
      <c r="I46" s="94">
        <f>SUM(I44,I30)</f>
        <v>2490271.2400000002</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2446398.41</v>
      </c>
      <c r="G51" s="109" t="s">
        <v>6</v>
      </c>
      <c r="H51" s="415">
        <v>4.5199999999999997E-2</v>
      </c>
      <c r="I51" s="101">
        <f>ROUND(F51*H51,2)</f>
        <v>110577.21</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2446398.41</v>
      </c>
      <c r="G52" s="109" t="s">
        <v>6</v>
      </c>
      <c r="H52" s="415">
        <v>1.41E-2</v>
      </c>
      <c r="I52" s="101">
        <f>ROUND(F52*H52,2)</f>
        <v>34494.22</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145071.43</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7.5</v>
      </c>
      <c r="D57" s="143">
        <v>8.52</v>
      </c>
      <c r="E57" s="116">
        <f t="shared" ref="E57:E65" si="10">IF(D$66=0,C57*2,C57+D57)</f>
        <v>16.02</v>
      </c>
      <c r="F57" s="456" t="s">
        <v>462</v>
      </c>
      <c r="G57" s="456">
        <v>251</v>
      </c>
      <c r="H57" s="470">
        <f>'1461'!H57</f>
        <v>1047</v>
      </c>
      <c r="I57" s="101">
        <f>ROUND(E57*H57,2)</f>
        <v>16772.939999999999</v>
      </c>
      <c r="N57" s="638" t="s">
        <v>470</v>
      </c>
      <c r="O57" s="638"/>
      <c r="P57" s="641"/>
      <c r="Q57" s="641"/>
      <c r="R57" s="462" t="s">
        <v>462</v>
      </c>
      <c r="S57" s="462">
        <v>251</v>
      </c>
      <c r="T57" s="473">
        <f>H57</f>
        <v>1047</v>
      </c>
      <c r="U57" s="487">
        <f>ROUND(P57*T57,2)</f>
        <v>0</v>
      </c>
      <c r="V57" s="438"/>
    </row>
    <row r="58" spans="1:22" x14ac:dyDescent="0.25">
      <c r="A58" s="607"/>
      <c r="B58" s="607"/>
      <c r="C58" s="143">
        <v>1</v>
      </c>
      <c r="D58" s="143">
        <v>1.5</v>
      </c>
      <c r="E58" s="116">
        <f t="shared" si="10"/>
        <v>2.5</v>
      </c>
      <c r="F58" s="456" t="s">
        <v>462</v>
      </c>
      <c r="G58" s="456">
        <v>252</v>
      </c>
      <c r="H58" s="470">
        <f>'1461'!H58</f>
        <v>3380</v>
      </c>
      <c r="I58" s="101">
        <f t="shared" ref="I58:I65" si="11">ROUND(E58*H58,2)</f>
        <v>8450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6</v>
      </c>
      <c r="D60" s="143">
        <v>6.59</v>
      </c>
      <c r="E60" s="116">
        <f t="shared" si="10"/>
        <v>12.59</v>
      </c>
      <c r="F60" s="457" t="s">
        <v>13</v>
      </c>
      <c r="G60" s="456">
        <v>251</v>
      </c>
      <c r="H60" s="470">
        <f>'1461'!H60</f>
        <v>1173</v>
      </c>
      <c r="I60" s="101">
        <f t="shared" si="11"/>
        <v>14768.07</v>
      </c>
      <c r="N60" s="639"/>
      <c r="O60" s="639"/>
      <c r="P60" s="642"/>
      <c r="Q60" s="642"/>
      <c r="R60" s="40" t="s">
        <v>13</v>
      </c>
      <c r="S60" s="462">
        <v>251</v>
      </c>
      <c r="T60" s="473">
        <f t="shared" si="12"/>
        <v>1173</v>
      </c>
      <c r="U60" s="487">
        <f t="shared" si="13"/>
        <v>0</v>
      </c>
      <c r="V60" s="438"/>
    </row>
    <row r="61" spans="1:22" x14ac:dyDescent="0.25">
      <c r="A61" s="607"/>
      <c r="B61" s="607"/>
      <c r="C61" s="143">
        <v>0.5</v>
      </c>
      <c r="D61" s="143">
        <v>0.41</v>
      </c>
      <c r="E61" s="116">
        <f t="shared" si="10"/>
        <v>0.90999999999999992</v>
      </c>
      <c r="F61" s="457" t="s">
        <v>13</v>
      </c>
      <c r="G61" s="456">
        <v>252</v>
      </c>
      <c r="H61" s="470">
        <f>'1461'!H61</f>
        <v>3506</v>
      </c>
      <c r="I61" s="101">
        <f t="shared" si="11"/>
        <v>3190.46</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15</v>
      </c>
      <c r="D66" s="97">
        <f>SUM(D57:D65)</f>
        <v>17.02</v>
      </c>
      <c r="E66" s="97">
        <f>SUM(E57:E65)</f>
        <v>32.019999999999996</v>
      </c>
      <c r="F66" s="608" t="s">
        <v>471</v>
      </c>
      <c r="G66" s="608"/>
      <c r="H66" s="608"/>
      <c r="I66" s="97">
        <f>SUM(I57:I65)</f>
        <v>43181.469999999994</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417.28999999999996</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2.0590000000000001E-3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464.005</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2.0349999999999999E-3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417.28999999999996</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2.235E-3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417.28999999999996</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2.062E-3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417.28999999999996</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2.2390000000000001E-3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2.062E-3</v>
      </c>
      <c r="I85" s="101">
        <f>ROUND(F85*H85,2)</f>
        <v>91764.46</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53"/>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2.0590000000000001E-3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2.2390000000000001E-3</v>
      </c>
      <c r="I90" s="101">
        <f>ROUND(F90*H90,2)</f>
        <v>36516.230000000003</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2.235E-3</v>
      </c>
      <c r="I92" s="101">
        <f t="shared" ref="I92:I96" si="14">ROUND(F92*H92,2)</f>
        <v>22682.240000000002</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2.0349999999999999E-3</v>
      </c>
      <c r="I94" s="101">
        <f t="shared" si="14"/>
        <v>486360.27</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2.0349999999999999E-3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2.0590000000000001E-3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341.77</v>
      </c>
      <c r="D104" s="614"/>
      <c r="E104" s="46">
        <f>H8</f>
        <v>1.0442</v>
      </c>
      <c r="F104" s="302">
        <f>'1461'!F104</f>
        <v>947.59</v>
      </c>
      <c r="G104" s="39" t="s">
        <v>12</v>
      </c>
      <c r="H104" s="101">
        <f>ROUND(C104*E104*F104,2)</f>
        <v>338172.35</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122.235</v>
      </c>
      <c r="D105" s="614"/>
      <c r="E105" s="46">
        <f>H8</f>
        <v>1.0442</v>
      </c>
      <c r="F105" s="302">
        <f>'1461'!F105</f>
        <v>904.74</v>
      </c>
      <c r="G105" s="39" t="s">
        <v>12</v>
      </c>
      <c r="H105" s="101">
        <f>ROUND(C105*E105*F105,2)</f>
        <v>115479.01</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464.005</v>
      </c>
      <c r="D107" s="604"/>
      <c r="E107" s="123"/>
      <c r="F107" s="123"/>
      <c r="G107" s="123"/>
      <c r="H107" s="124" t="s">
        <v>100</v>
      </c>
      <c r="I107" s="101">
        <f>IF(A1=75,0,H106+H105+H104)</f>
        <v>453651.36</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v>
      </c>
      <c r="D113" s="143">
        <v>0</v>
      </c>
      <c r="E113" s="144">
        <f>(C113+D113)/2</f>
        <v>1</v>
      </c>
      <c r="F113" s="126" t="s">
        <v>30</v>
      </c>
      <c r="G113" s="303">
        <f>'1461'!G113</f>
        <v>536</v>
      </c>
      <c r="I113" s="101">
        <f>ROUND(G113*E113,2)</f>
        <v>536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44">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42">
        <f>IF(D30=0,C121*2,C121+D121)</f>
        <v>0</v>
      </c>
      <c r="F121" s="696">
        <v>0</v>
      </c>
      <c r="G121" s="696"/>
      <c r="H121" s="61">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44">
        <f>IF(D31=0,C122*2,C122+D122)</f>
        <v>0</v>
      </c>
      <c r="F122" s="616">
        <f>ROUND(F121/2,2)</f>
        <v>0</v>
      </c>
      <c r="G122" s="616"/>
      <c r="H122" s="61">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44">
        <f>IF(D32=0,C123*2,C123+D123)</f>
        <v>0</v>
      </c>
      <c r="F123" s="617"/>
      <c r="G123" s="617"/>
      <c r="H123" s="63">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3624963.2700000005</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3479891.8400000003</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3479891.8400000003</v>
      </c>
      <c r="I135" s="94">
        <f>ROUND(IF(E30=0,0,IF(E30&gt;250,-(((250/E30)*H135)*IF(G135="H",0.02,0.05)),IF(G135="H",-0.02*H135,-0.05*H135))),2)</f>
        <v>-104240.81</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3520722.4600000004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-3520943.71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-221.24999999953434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-221.25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69753.78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266</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41"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0.5</v>
      </c>
      <c r="D15" s="143">
        <v>1</v>
      </c>
      <c r="E15" s="116">
        <f t="shared" ref="E15:E29" si="1">IF(D$30=0,C15*2,C15+D15)</f>
        <v>1.5</v>
      </c>
      <c r="F15" s="679">
        <f>'1461'!F15:G15</f>
        <v>1.1220000000000001</v>
      </c>
      <c r="G15" s="679"/>
      <c r="H15" s="80">
        <f t="shared" ref="H15:H29" si="2">ROUND(E15*F15,4)</f>
        <v>1.6830000000000001</v>
      </c>
      <c r="I15" s="101">
        <f t="shared" ref="I15:I29" si="3">ROUND(ROUND(ROUND(H15*$C$8,4)*($H$8),2)*(MAX($H$9,1)),2)</f>
        <v>9032.5</v>
      </c>
      <c r="J15" s="65" t="str">
        <f>IF(ROUND(E15,2)=ROUND(SUM(E57:E59),2)," ","CHECK PK-3 LINES BELOW")</f>
        <v xml:space="preserve"> </v>
      </c>
      <c r="N15" s="621" t="s">
        <v>21</v>
      </c>
      <c r="O15" s="621"/>
      <c r="P15" s="662">
        <f t="shared" si="0"/>
        <v>1.5</v>
      </c>
      <c r="Q15" s="662"/>
      <c r="R15" s="667">
        <v>1</v>
      </c>
      <c r="S15" s="667"/>
      <c r="T15" s="95">
        <f t="shared" ref="T15:T29" si="4">ROUND(P15*R15,4)</f>
        <v>1.5</v>
      </c>
      <c r="U15" s="486">
        <f t="shared" ref="U15:U29" si="5">ROUND(ROUND(ROUND(T15*$C$8,4)*($H$8),2)*(MAX($H$9,1)),2)</f>
        <v>8050.36</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1.5</v>
      </c>
      <c r="D17" s="143">
        <v>1.5</v>
      </c>
      <c r="E17" s="116">
        <f t="shared" si="1"/>
        <v>3</v>
      </c>
      <c r="F17" s="679">
        <f>'1461'!F17:G17</f>
        <v>1</v>
      </c>
      <c r="G17" s="679"/>
      <c r="H17" s="80">
        <f t="shared" si="2"/>
        <v>3</v>
      </c>
      <c r="I17" s="101">
        <f t="shared" si="3"/>
        <v>16100.72</v>
      </c>
      <c r="J17" s="65" t="str">
        <f>IF(ROUND(E17,2)=ROUND(SUM(E60:E62),2)," ","CHECK 4-8 LINES BELOW")</f>
        <v xml:space="preserve"> </v>
      </c>
      <c r="N17" s="621" t="s">
        <v>23</v>
      </c>
      <c r="O17" s="621"/>
      <c r="P17" s="662">
        <f t="shared" si="0"/>
        <v>3</v>
      </c>
      <c r="Q17" s="662"/>
      <c r="R17" s="667">
        <v>1</v>
      </c>
      <c r="S17" s="667"/>
      <c r="T17" s="95">
        <f t="shared" si="4"/>
        <v>3</v>
      </c>
      <c r="U17" s="486">
        <f t="shared" si="5"/>
        <v>16100.72</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10.5</v>
      </c>
      <c r="D20" s="143">
        <v>11</v>
      </c>
      <c r="E20" s="116">
        <f t="shared" si="1"/>
        <v>21.5</v>
      </c>
      <c r="F20" s="679">
        <f>'1461'!F20:G20</f>
        <v>3.706</v>
      </c>
      <c r="G20" s="679"/>
      <c r="H20" s="80">
        <f t="shared" si="2"/>
        <v>79.679000000000002</v>
      </c>
      <c r="I20" s="101">
        <f t="shared" si="3"/>
        <v>427629.71</v>
      </c>
      <c r="N20" s="621" t="s">
        <v>79</v>
      </c>
      <c r="O20" s="621"/>
      <c r="P20" s="662">
        <f t="shared" si="0"/>
        <v>21.5</v>
      </c>
      <c r="Q20" s="662"/>
      <c r="R20" s="667">
        <v>1</v>
      </c>
      <c r="S20" s="667"/>
      <c r="T20" s="95">
        <f t="shared" si="4"/>
        <v>21.5</v>
      </c>
      <c r="U20" s="486">
        <f t="shared" si="5"/>
        <v>115388.48</v>
      </c>
    </row>
    <row r="21" spans="1:21" x14ac:dyDescent="0.25">
      <c r="A21" s="596" t="s">
        <v>80</v>
      </c>
      <c r="B21" s="596"/>
      <c r="C21" s="143">
        <v>10</v>
      </c>
      <c r="D21" s="143">
        <v>9.5</v>
      </c>
      <c r="E21" s="116">
        <f t="shared" si="1"/>
        <v>19.5</v>
      </c>
      <c r="F21" s="679">
        <f>'1461'!F21:G21</f>
        <v>3.706</v>
      </c>
      <c r="G21" s="679"/>
      <c r="H21" s="80">
        <f t="shared" si="2"/>
        <v>72.266999999999996</v>
      </c>
      <c r="I21" s="101">
        <f t="shared" si="3"/>
        <v>387850.2</v>
      </c>
      <c r="N21" s="621" t="s">
        <v>80</v>
      </c>
      <c r="O21" s="621"/>
      <c r="P21" s="662">
        <f t="shared" si="0"/>
        <v>19.5</v>
      </c>
      <c r="Q21" s="662"/>
      <c r="R21" s="667">
        <v>1</v>
      </c>
      <c r="S21" s="667"/>
      <c r="T21" s="95">
        <f t="shared" si="4"/>
        <v>19.5</v>
      </c>
      <c r="U21" s="486">
        <f t="shared" si="5"/>
        <v>104654.67</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12.98</v>
      </c>
      <c r="D23" s="143">
        <v>13.5</v>
      </c>
      <c r="E23" s="116">
        <f t="shared" si="1"/>
        <v>26.48</v>
      </c>
      <c r="F23" s="679">
        <f>'1461'!F23:G23</f>
        <v>5.7069999999999999</v>
      </c>
      <c r="G23" s="679"/>
      <c r="H23" s="80">
        <f t="shared" si="2"/>
        <v>151.12139999999999</v>
      </c>
      <c r="I23" s="101">
        <f t="shared" si="3"/>
        <v>811054.36</v>
      </c>
      <c r="N23" s="621" t="s">
        <v>82</v>
      </c>
      <c r="O23" s="621"/>
      <c r="P23" s="662">
        <f t="shared" si="0"/>
        <v>26.48</v>
      </c>
      <c r="Q23" s="662"/>
      <c r="R23" s="667">
        <v>1</v>
      </c>
      <c r="S23" s="667"/>
      <c r="T23" s="95">
        <f t="shared" si="4"/>
        <v>26.48</v>
      </c>
      <c r="U23" s="486">
        <f t="shared" si="5"/>
        <v>142115.67000000001</v>
      </c>
    </row>
    <row r="24" spans="1:21" x14ac:dyDescent="0.25">
      <c r="A24" s="596" t="s">
        <v>83</v>
      </c>
      <c r="B24" s="596"/>
      <c r="C24" s="143">
        <v>8.98</v>
      </c>
      <c r="D24" s="143">
        <v>8.5</v>
      </c>
      <c r="E24" s="116">
        <f t="shared" si="1"/>
        <v>17.48</v>
      </c>
      <c r="F24" s="679">
        <f>'1461'!F24:G24</f>
        <v>5.7069999999999999</v>
      </c>
      <c r="G24" s="679"/>
      <c r="H24" s="80">
        <f t="shared" si="2"/>
        <v>99.758399999999995</v>
      </c>
      <c r="I24" s="101">
        <f t="shared" si="3"/>
        <v>535393.96</v>
      </c>
      <c r="N24" s="621" t="s">
        <v>83</v>
      </c>
      <c r="O24" s="621"/>
      <c r="P24" s="662">
        <f t="shared" si="0"/>
        <v>17.48</v>
      </c>
      <c r="Q24" s="662"/>
      <c r="R24" s="667">
        <v>1</v>
      </c>
      <c r="S24" s="667"/>
      <c r="T24" s="95">
        <f t="shared" si="4"/>
        <v>17.48</v>
      </c>
      <c r="U24" s="486">
        <f t="shared" si="5"/>
        <v>93813.52</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44.460000000000008</v>
      </c>
      <c r="D30" s="94">
        <f>SUM(D14:D29)</f>
        <v>45</v>
      </c>
      <c r="E30" s="94">
        <f>SUM(E14:E29)</f>
        <v>89.460000000000008</v>
      </c>
      <c r="F30" s="600"/>
      <c r="G30" s="600"/>
      <c r="H30" s="99">
        <f>SUM(H14:H29)</f>
        <v>407.50880000000001</v>
      </c>
      <c r="I30" s="94">
        <f>SUM(I14:I29)</f>
        <v>2187061.4500000002</v>
      </c>
      <c r="N30" s="664" t="s">
        <v>5</v>
      </c>
      <c r="O30" s="664"/>
      <c r="P30" s="665">
        <f>SUM(P14:P29)</f>
        <v>89.460000000000008</v>
      </c>
      <c r="Q30" s="665"/>
      <c r="R30" s="637"/>
      <c r="S30" s="637"/>
      <c r="T30" s="100">
        <f>SUM(T14:T29)</f>
        <v>89.460000000000008</v>
      </c>
      <c r="U30" s="486">
        <f>SUM(U14:U29)</f>
        <v>480123.42000000004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42">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44">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44">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44">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44">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36">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407.50880000000001</v>
      </c>
      <c r="F46" s="34"/>
      <c r="G46" s="106"/>
      <c r="H46" s="107" t="s">
        <v>98</v>
      </c>
      <c r="I46" s="94">
        <f>SUM(I44,I30)</f>
        <v>2187061.4500000002</v>
      </c>
      <c r="N46" s="623" t="s">
        <v>44</v>
      </c>
      <c r="O46" s="623"/>
      <c r="P46" s="623"/>
      <c r="Q46" s="623"/>
      <c r="R46" s="35">
        <f>R44+T30</f>
        <v>89.460000000000008</v>
      </c>
      <c r="S46" s="637" t="s">
        <v>42</v>
      </c>
      <c r="T46" s="637"/>
      <c r="U46" s="108">
        <f>SUM(U44,U30)</f>
        <v>480123.42000000004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2107559.86</v>
      </c>
      <c r="G51" s="109" t="s">
        <v>6</v>
      </c>
      <c r="H51" s="415">
        <v>4.5199999999999997E-2</v>
      </c>
      <c r="I51" s="101">
        <f>ROUND(F51*H51,2)</f>
        <v>95261.71</v>
      </c>
      <c r="N51" s="420"/>
      <c r="O51" s="421" t="s">
        <v>422</v>
      </c>
      <c r="P51" s="28"/>
      <c r="Q51" s="44" t="s">
        <v>423</v>
      </c>
      <c r="R51" s="422">
        <f>U30</f>
        <v>480123.42000000004</v>
      </c>
      <c r="S51" s="423" t="s">
        <v>6</v>
      </c>
      <c r="T51" s="424">
        <v>4.5199999999999997E-2</v>
      </c>
      <c r="U51" s="416">
        <f>ROUND(R51*T51,2)</f>
        <v>21701.58</v>
      </c>
    </row>
    <row r="52" spans="1:22" x14ac:dyDescent="0.25">
      <c r="A52" s="26"/>
      <c r="B52" s="81" t="s">
        <v>424</v>
      </c>
      <c r="C52" s="26"/>
      <c r="D52" s="26"/>
      <c r="E52" s="43" t="s">
        <v>423</v>
      </c>
      <c r="F52" s="414">
        <v>2107559.86</v>
      </c>
      <c r="G52" s="109" t="s">
        <v>6</v>
      </c>
      <c r="H52" s="415">
        <v>1.41E-2</v>
      </c>
      <c r="I52" s="101">
        <f>ROUND(F52*H52,2)</f>
        <v>29716.59</v>
      </c>
      <c r="N52" s="28"/>
      <c r="O52" s="397" t="s">
        <v>424</v>
      </c>
      <c r="P52" s="28"/>
      <c r="Q52" s="44" t="s">
        <v>423</v>
      </c>
      <c r="R52" s="422">
        <f>U30</f>
        <v>480123.42000000004</v>
      </c>
      <c r="S52" s="423" t="s">
        <v>6</v>
      </c>
      <c r="T52" s="424">
        <v>1.41E-2</v>
      </c>
      <c r="U52" s="425">
        <f>ROUND(R52*T52,2)</f>
        <v>6769.74</v>
      </c>
    </row>
    <row r="53" spans="1:22" x14ac:dyDescent="0.25">
      <c r="A53" s="26"/>
      <c r="B53" s="81" t="s">
        <v>425</v>
      </c>
      <c r="C53" s="26"/>
      <c r="D53" s="26"/>
      <c r="E53" s="43"/>
      <c r="F53" s="414"/>
      <c r="G53" s="109"/>
      <c r="H53" s="415"/>
      <c r="I53" s="97">
        <f>SUM(I51:I52)</f>
        <v>124978.3</v>
      </c>
      <c r="N53" s="28"/>
      <c r="O53" s="397" t="s">
        <v>425</v>
      </c>
      <c r="P53" s="28"/>
      <c r="Q53" s="44"/>
      <c r="R53" s="422"/>
      <c r="S53" s="423"/>
      <c r="T53" s="424"/>
      <c r="U53" s="416">
        <f>SUM(U51:U52)</f>
        <v>28471.32</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0.5</v>
      </c>
      <c r="D59" s="143">
        <v>1</v>
      </c>
      <c r="E59" s="116">
        <f t="shared" si="10"/>
        <v>1.5</v>
      </c>
      <c r="F59" s="456" t="s">
        <v>462</v>
      </c>
      <c r="G59" s="456">
        <v>253</v>
      </c>
      <c r="H59" s="470">
        <f>'1461'!H59</f>
        <v>6896</v>
      </c>
      <c r="I59" s="101">
        <f t="shared" si="11"/>
        <v>10344</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1.5</v>
      </c>
      <c r="D62" s="143">
        <v>1.5</v>
      </c>
      <c r="E62" s="116">
        <f t="shared" si="10"/>
        <v>3</v>
      </c>
      <c r="F62" s="457" t="s">
        <v>13</v>
      </c>
      <c r="G62" s="456">
        <v>253</v>
      </c>
      <c r="H62" s="470">
        <f>'1461'!H62</f>
        <v>7023</v>
      </c>
      <c r="I62" s="101">
        <f t="shared" si="11"/>
        <v>21069</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2</v>
      </c>
      <c r="D66" s="97">
        <f>SUM(D57:D65)</f>
        <v>2.5</v>
      </c>
      <c r="E66" s="97">
        <f>SUM(E57:E65)</f>
        <v>4.5</v>
      </c>
      <c r="F66" s="608" t="s">
        <v>471</v>
      </c>
      <c r="G66" s="608"/>
      <c r="H66" s="608"/>
      <c r="I66" s="97">
        <f>SUM(I57:I65)</f>
        <v>31413</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89.460000000000008</v>
      </c>
      <c r="D69" s="583" t="s">
        <v>437</v>
      </c>
      <c r="E69" s="583"/>
      <c r="F69" s="583"/>
      <c r="G69" s="583"/>
      <c r="H69" s="299">
        <f>'1461'!H69</f>
        <v>202683.97</v>
      </c>
      <c r="I69" s="113"/>
      <c r="N69" s="620" t="s">
        <v>430</v>
      </c>
      <c r="O69" s="621"/>
      <c r="P69" s="41">
        <f>P30</f>
        <v>89.460000000000008</v>
      </c>
      <c r="Q69" s="626" t="s">
        <v>432</v>
      </c>
      <c r="R69" s="627"/>
      <c r="S69" s="627"/>
      <c r="T69" s="624">
        <f>H69</f>
        <v>202683.97</v>
      </c>
      <c r="U69" s="624"/>
    </row>
    <row r="70" spans="1:22" x14ac:dyDescent="0.25">
      <c r="B70" s="69"/>
      <c r="G70" s="42" t="s">
        <v>12</v>
      </c>
      <c r="H70" s="114">
        <f>ROUND(C69/H69,6)</f>
        <v>4.4099999999999999E-4</v>
      </c>
      <c r="I70" s="115"/>
      <c r="N70" s="621"/>
      <c r="O70" s="621"/>
      <c r="P70" s="621"/>
      <c r="Q70" s="621"/>
      <c r="R70" s="621"/>
      <c r="S70" s="621"/>
      <c r="T70" s="625">
        <f>ROUND(P69/T69,6)</f>
        <v>4.4099999999999999E-4</v>
      </c>
      <c r="U70" s="625"/>
    </row>
    <row r="71" spans="1:22" x14ac:dyDescent="0.25">
      <c r="A71" s="455" t="s">
        <v>474</v>
      </c>
      <c r="N71" s="466" t="s">
        <v>482</v>
      </c>
      <c r="O71" s="51"/>
      <c r="P71" s="51"/>
      <c r="Q71" s="51"/>
      <c r="R71" s="51"/>
      <c r="S71" s="51"/>
      <c r="T71" s="51"/>
      <c r="U71" s="51"/>
    </row>
    <row r="72" spans="1:22" x14ac:dyDescent="0.25">
      <c r="A72" s="602" t="s">
        <v>427</v>
      </c>
      <c r="B72" s="596"/>
      <c r="C72" s="112">
        <f>H30</f>
        <v>407.50880000000001</v>
      </c>
      <c r="D72" s="583" t="s">
        <v>438</v>
      </c>
      <c r="E72" s="583"/>
      <c r="F72" s="583"/>
      <c r="G72" s="583"/>
      <c r="H72" s="300">
        <f>'1461'!H72</f>
        <v>228068.32</v>
      </c>
      <c r="I72" s="116"/>
      <c r="N72" s="620" t="s">
        <v>431</v>
      </c>
      <c r="O72" s="621"/>
      <c r="P72" s="41">
        <f>T30</f>
        <v>89.460000000000008</v>
      </c>
      <c r="Q72" s="626" t="s">
        <v>433</v>
      </c>
      <c r="R72" s="627"/>
      <c r="S72" s="627"/>
      <c r="T72" s="624">
        <f>H72</f>
        <v>228068.32</v>
      </c>
      <c r="U72" s="624"/>
    </row>
    <row r="73" spans="1:22" x14ac:dyDescent="0.25">
      <c r="G73" s="42" t="s">
        <v>12</v>
      </c>
      <c r="H73" s="114">
        <f>ROUND(C72/H72,6)</f>
        <v>1.787E-3</v>
      </c>
      <c r="I73" s="114"/>
      <c r="N73" s="621"/>
      <c r="O73" s="621"/>
      <c r="P73" s="621"/>
      <c r="Q73" s="621"/>
      <c r="R73" s="621"/>
      <c r="S73" s="621"/>
      <c r="T73" s="625">
        <f>ROUND(P72/T72,6)</f>
        <v>3.9199999999999999E-4</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89.460000000000008</v>
      </c>
      <c r="D75" s="575" t="s">
        <v>439</v>
      </c>
      <c r="E75" s="575"/>
      <c r="F75" s="575"/>
      <c r="G75" s="575"/>
      <c r="H75" s="299">
        <f>'1461'!H75</f>
        <v>186715.72</v>
      </c>
      <c r="I75" s="113"/>
      <c r="N75" s="620" t="s">
        <v>429</v>
      </c>
      <c r="O75" s="621"/>
      <c r="P75" s="41">
        <f>P30</f>
        <v>89.460000000000008</v>
      </c>
      <c r="Q75" s="656" t="s">
        <v>434</v>
      </c>
      <c r="R75" s="657"/>
      <c r="S75" s="657"/>
      <c r="T75" s="624">
        <f>H75</f>
        <v>186715.72</v>
      </c>
      <c r="U75" s="624"/>
    </row>
    <row r="76" spans="1:22" x14ac:dyDescent="0.25">
      <c r="B76" s="69"/>
      <c r="G76" s="42" t="s">
        <v>12</v>
      </c>
      <c r="H76" s="114">
        <f>ROUND(C75/H75,6)</f>
        <v>4.7899999999999999E-4</v>
      </c>
      <c r="I76" s="115"/>
      <c r="N76" s="621"/>
      <c r="O76" s="621"/>
      <c r="P76" s="621"/>
      <c r="Q76" s="621"/>
      <c r="R76" s="621"/>
      <c r="S76" s="621"/>
      <c r="T76" s="625">
        <f>ROUND(P75/T75,6)</f>
        <v>4.7899999999999999E-4</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89.460000000000008</v>
      </c>
      <c r="D78" s="603" t="s">
        <v>440</v>
      </c>
      <c r="E78" s="603"/>
      <c r="F78" s="603"/>
      <c r="G78" s="603"/>
      <c r="H78" s="299">
        <f>'1461'!H78</f>
        <v>202339.94</v>
      </c>
      <c r="I78" s="113"/>
      <c r="N78" s="620" t="s">
        <v>429</v>
      </c>
      <c r="O78" s="621"/>
      <c r="P78" s="41">
        <f>P30</f>
        <v>89.460000000000008</v>
      </c>
      <c r="Q78" s="654" t="s">
        <v>435</v>
      </c>
      <c r="R78" s="655"/>
      <c r="S78" s="655"/>
      <c r="T78" s="624">
        <f>H78</f>
        <v>202339.94</v>
      </c>
      <c r="U78" s="624"/>
    </row>
    <row r="79" spans="1:22" x14ac:dyDescent="0.25">
      <c r="B79" s="69"/>
      <c r="G79" s="42" t="s">
        <v>12</v>
      </c>
      <c r="H79" s="114">
        <f>ROUND(C78/H78,6)</f>
        <v>4.4200000000000001E-4</v>
      </c>
      <c r="I79" s="115"/>
      <c r="N79" s="621"/>
      <c r="O79" s="621"/>
      <c r="P79" s="621"/>
      <c r="Q79" s="621"/>
      <c r="R79" s="621"/>
      <c r="S79" s="621"/>
      <c r="T79" s="625">
        <f>ROUND(P78/T78,6)</f>
        <v>4.4200000000000001E-4</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89.460000000000008</v>
      </c>
      <c r="D81" s="575" t="s">
        <v>441</v>
      </c>
      <c r="E81" s="575"/>
      <c r="F81" s="575"/>
      <c r="G81" s="575"/>
      <c r="H81" s="299">
        <f>'1461'!H81</f>
        <v>186371.69</v>
      </c>
      <c r="I81" s="113"/>
      <c r="N81" s="620" t="s">
        <v>442</v>
      </c>
      <c r="O81" s="621"/>
      <c r="P81" s="41">
        <f>P30</f>
        <v>89.460000000000008</v>
      </c>
      <c r="Q81" s="656" t="s">
        <v>443</v>
      </c>
      <c r="R81" s="657"/>
      <c r="S81" s="657"/>
      <c r="T81" s="624">
        <f>H81</f>
        <v>186371.69</v>
      </c>
      <c r="U81" s="624"/>
    </row>
    <row r="82" spans="1:21" x14ac:dyDescent="0.25">
      <c r="B82" s="69"/>
      <c r="G82" s="42" t="s">
        <v>12</v>
      </c>
      <c r="H82" s="114">
        <f>ROUND(C81/H81,6)</f>
        <v>4.8000000000000001E-4</v>
      </c>
      <c r="I82" s="115"/>
      <c r="N82" s="621"/>
      <c r="O82" s="621"/>
      <c r="P82" s="621"/>
      <c r="Q82" s="621"/>
      <c r="R82" s="621"/>
      <c r="S82" s="621"/>
      <c r="T82" s="625">
        <f>ROUND(P81/T81,6)</f>
        <v>4.8000000000000001E-4</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4.4200000000000001E-4</v>
      </c>
      <c r="I85" s="101">
        <f>ROUND(F85*H85,2)</f>
        <v>19670.169999999998</v>
      </c>
      <c r="N85" s="466" t="s">
        <v>478</v>
      </c>
      <c r="O85" s="51"/>
      <c r="P85" s="51"/>
      <c r="Q85" s="44"/>
      <c r="R85" s="433">
        <f>F85</f>
        <v>44502646</v>
      </c>
      <c r="S85" s="38" t="s">
        <v>6</v>
      </c>
      <c r="T85" s="435">
        <f>T79</f>
        <v>4.4200000000000001E-4</v>
      </c>
      <c r="U85" s="486">
        <f>ROUND(R85*T85,2)</f>
        <v>19670.169999999998</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53"/>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4.4099999999999999E-4</v>
      </c>
      <c r="I88" s="101">
        <f>ROUND(F88*H88,2)</f>
        <v>0</v>
      </c>
      <c r="N88" s="658" t="s">
        <v>99</v>
      </c>
      <c r="O88" s="621"/>
      <c r="P88" s="621"/>
      <c r="Q88" s="44"/>
      <c r="R88" s="433">
        <f>F88</f>
        <v>0</v>
      </c>
      <c r="S88" s="38" t="s">
        <v>6</v>
      </c>
      <c r="T88" s="435">
        <f>T70</f>
        <v>4.4099999999999999E-4</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4.8000000000000001E-4</v>
      </c>
      <c r="I90" s="101">
        <f>ROUND(F90*H90,2)</f>
        <v>7828.4</v>
      </c>
      <c r="N90" s="466" t="s">
        <v>479</v>
      </c>
      <c r="O90" s="51"/>
      <c r="P90" s="51"/>
      <c r="Q90" s="44"/>
      <c r="R90" s="433">
        <f>F90</f>
        <v>16309168</v>
      </c>
      <c r="S90" s="38" t="s">
        <v>6</v>
      </c>
      <c r="T90" s="435">
        <f>T82</f>
        <v>4.8000000000000001E-4</v>
      </c>
      <c r="U90" s="486">
        <f>ROUND(R90*T90,2)</f>
        <v>7828.4</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4.7899999999999999E-4</v>
      </c>
      <c r="I92" s="101">
        <f t="shared" ref="I92:I96" si="14">ROUND(F92*H92,2)</f>
        <v>4861.21</v>
      </c>
      <c r="N92" s="466" t="s">
        <v>480</v>
      </c>
      <c r="O92" s="51"/>
      <c r="P92" s="51"/>
      <c r="Q92" s="44"/>
      <c r="R92" s="433">
        <f t="shared" ref="R92:R96" si="15">F92</f>
        <v>10148654</v>
      </c>
      <c r="S92" s="38" t="s">
        <v>6</v>
      </c>
      <c r="T92" s="435">
        <f>T76</f>
        <v>4.7899999999999999E-4</v>
      </c>
      <c r="U92" s="486">
        <f>ROUND(R92*T92,2)</f>
        <v>4861.21</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1.787E-3</v>
      </c>
      <c r="I94" s="101">
        <f t="shared" si="14"/>
        <v>427088.84</v>
      </c>
      <c r="N94" s="621" t="s">
        <v>445</v>
      </c>
      <c r="O94" s="621"/>
      <c r="P94" s="621"/>
      <c r="Q94" s="44"/>
      <c r="R94" s="433">
        <f t="shared" si="15"/>
        <v>238997674</v>
      </c>
      <c r="S94" s="38" t="s">
        <v>6</v>
      </c>
      <c r="T94" s="435">
        <f>T73</f>
        <v>3.9199999999999999E-4</v>
      </c>
      <c r="U94" s="486">
        <f>ROUND(R94*T94,2)</f>
        <v>93687.09</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1.787E-3</v>
      </c>
      <c r="I96" s="101">
        <f t="shared" si="14"/>
        <v>0</v>
      </c>
      <c r="N96" s="620" t="s">
        <v>446</v>
      </c>
      <c r="O96" s="621"/>
      <c r="P96" s="621"/>
      <c r="Q96" s="44"/>
      <c r="R96" s="433">
        <f t="shared" si="15"/>
        <v>0</v>
      </c>
      <c r="S96" s="38" t="s">
        <v>6</v>
      </c>
      <c r="T96" s="435">
        <f>T73</f>
        <v>3.9199999999999999E-4</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4.4099999999999999E-4</v>
      </c>
      <c r="I98" s="101">
        <f t="shared" ref="I98" si="16">ROUND(F98*H98,2)</f>
        <v>0</v>
      </c>
      <c r="N98" s="542" t="s">
        <v>525</v>
      </c>
      <c r="O98" s="542"/>
      <c r="P98" s="542"/>
      <c r="Q98" s="44"/>
      <c r="R98" s="545">
        <f>F98</f>
        <v>0</v>
      </c>
      <c r="S98" s="543" t="s">
        <v>6</v>
      </c>
      <c r="T98" s="435">
        <f>T70</f>
        <v>4.4099999999999999E-4</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232.48340000000002</v>
      </c>
      <c r="D104" s="614"/>
      <c r="E104" s="46">
        <f>H8</f>
        <v>1.0442</v>
      </c>
      <c r="F104" s="302">
        <f>'1461'!F104</f>
        <v>947.59</v>
      </c>
      <c r="G104" s="39" t="s">
        <v>12</v>
      </c>
      <c r="H104" s="101">
        <f>ROUND(C104*E104*F104,2)</f>
        <v>230036.16</v>
      </c>
      <c r="I104" s="104"/>
      <c r="N104" s="28" t="s">
        <v>17</v>
      </c>
      <c r="O104" s="47">
        <f>T14+T15+T20+T23+T26</f>
        <v>49.480000000000004</v>
      </c>
      <c r="P104" s="631">
        <f>T8</f>
        <v>1.0442</v>
      </c>
      <c r="Q104" s="631"/>
      <c r="R104" s="48">
        <f>F104</f>
        <v>947.59</v>
      </c>
      <c r="S104" s="40" t="s">
        <v>12</v>
      </c>
      <c r="T104" s="492">
        <f>ROUND(O104*P104*R104,2)</f>
        <v>48959.15</v>
      </c>
      <c r="U104" s="102"/>
    </row>
    <row r="105" spans="1:21" x14ac:dyDescent="0.25">
      <c r="A105" s="49"/>
      <c r="B105" s="49" t="s">
        <v>104</v>
      </c>
      <c r="C105" s="614">
        <f>H16+H17+H21+H24+H27</f>
        <v>175.02539999999999</v>
      </c>
      <c r="D105" s="614"/>
      <c r="E105" s="46">
        <f>H8</f>
        <v>1.0442</v>
      </c>
      <c r="F105" s="302">
        <f>'1461'!F105</f>
        <v>904.74</v>
      </c>
      <c r="G105" s="39" t="s">
        <v>12</v>
      </c>
      <c r="H105" s="101">
        <f>ROUND(C105*E105*F105,2)</f>
        <v>165351.66</v>
      </c>
      <c r="N105" s="50" t="s">
        <v>13</v>
      </c>
      <c r="O105" s="47">
        <f>T16+T17+T21+T24+T27</f>
        <v>39.980000000000004</v>
      </c>
      <c r="P105" s="631">
        <f>T8</f>
        <v>1.0442</v>
      </c>
      <c r="Q105" s="631"/>
      <c r="R105" s="48">
        <f>F105</f>
        <v>904.74</v>
      </c>
      <c r="S105" s="40" t="s">
        <v>12</v>
      </c>
      <c r="T105" s="492">
        <f>ROUND(O105*P105*R105,2)</f>
        <v>37770.29</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407.50880000000001</v>
      </c>
      <c r="D107" s="604"/>
      <c r="E107" s="123"/>
      <c r="F107" s="123"/>
      <c r="G107" s="123"/>
      <c r="H107" s="124" t="s">
        <v>100</v>
      </c>
      <c r="I107" s="101">
        <f>IF(A1=75,0,H106+H105+H104)</f>
        <v>395387.82</v>
      </c>
      <c r="N107" s="56" t="s">
        <v>89</v>
      </c>
      <c r="O107" s="57">
        <f>SUM(O104:O106)</f>
        <v>89.460000000000008</v>
      </c>
      <c r="P107" s="632" t="s">
        <v>16</v>
      </c>
      <c r="Q107" s="633"/>
      <c r="R107" s="633"/>
      <c r="S107" s="633"/>
      <c r="T107" s="633"/>
      <c r="U107" s="486">
        <f>IF(N1=75,0,T106+T105+T104)</f>
        <v>86729.44</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41"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1</v>
      </c>
      <c r="D113" s="143">
        <v>0</v>
      </c>
      <c r="E113" s="144">
        <f>(C113+D113)/2</f>
        <v>0.5</v>
      </c>
      <c r="F113" s="126" t="s">
        <v>30</v>
      </c>
      <c r="G113" s="303">
        <f>'1461'!G113</f>
        <v>536</v>
      </c>
      <c r="I113" s="101">
        <f>ROUND(G113*E113,2)</f>
        <v>268</v>
      </c>
      <c r="N113" s="650" t="s">
        <v>52</v>
      </c>
      <c r="O113" s="650"/>
      <c r="P113" s="630">
        <f>IF(H133=1,E113,0)</f>
        <v>0.5</v>
      </c>
      <c r="Q113" s="630"/>
      <c r="R113" s="630"/>
      <c r="S113" s="83" t="s">
        <v>30</v>
      </c>
      <c r="T113" s="58">
        <f>G113</f>
        <v>536</v>
      </c>
      <c r="U113" s="486">
        <f>ROUND(T113*P113,2)</f>
        <v>268</v>
      </c>
    </row>
    <row r="114" spans="1:21" x14ac:dyDescent="0.25">
      <c r="A114" s="575" t="s">
        <v>404</v>
      </c>
      <c r="B114" s="576"/>
      <c r="C114" s="143">
        <v>1</v>
      </c>
      <c r="D114" s="143">
        <v>0</v>
      </c>
      <c r="E114" s="144">
        <f>(C114+D114)/2</f>
        <v>0.5</v>
      </c>
      <c r="F114" s="126" t="s">
        <v>30</v>
      </c>
      <c r="G114" s="303">
        <f>'1461'!G114</f>
        <v>1760</v>
      </c>
      <c r="I114" s="101">
        <f>ROUND(G114*E114,2)</f>
        <v>880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42">
        <f>IF(D30=0,C121*2,C121+D121)</f>
        <v>0</v>
      </c>
      <c r="F121" s="696">
        <v>0</v>
      </c>
      <c r="G121" s="696"/>
      <c r="H121" s="61">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44">
        <f>IF(D31=0,C122*2,C122+D122)</f>
        <v>0</v>
      </c>
      <c r="F122" s="616">
        <f>ROUND(F121/2,2)</f>
        <v>0</v>
      </c>
      <c r="G122" s="616"/>
      <c r="H122" s="61">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44">
        <f>IF(D32=0,C123*2,C123+D123)</f>
        <v>0</v>
      </c>
      <c r="F123" s="617"/>
      <c r="G123" s="617"/>
      <c r="H123" s="63">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3074458.8899999997</v>
      </c>
      <c r="N128" s="466"/>
      <c r="O128" s="465"/>
      <c r="P128" s="465"/>
      <c r="Q128" s="305"/>
      <c r="R128" s="305"/>
      <c r="S128" s="305"/>
      <c r="T128" s="305"/>
      <c r="U128" s="493">
        <f>SUM(U30,U85,U88,U90,U92,U94,U96,U107,U113,U114,U124,U126)</f>
        <v>693167.73</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2949480.59</v>
      </c>
      <c r="N130" s="621" t="s">
        <v>457</v>
      </c>
      <c r="O130" s="621"/>
      <c r="P130" s="621"/>
      <c r="Q130" s="621"/>
      <c r="R130" s="621"/>
      <c r="S130" s="621"/>
      <c r="T130" s="621"/>
      <c r="U130" s="132">
        <f>U128-U53</f>
        <v>664696.41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f>IF(E30=0,"",IF((E15+E17+SUM(E19:E25))/E30&gt;0.75,1,""))</f>
        <v>1</v>
      </c>
      <c r="I133" s="116">
        <f>U130</f>
        <v>664696.41</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664696.41</v>
      </c>
      <c r="I135" s="94">
        <f>ROUND(IF(E30=0,0,IF(E30&gt;250,-(((250/E30)*H135)*IF(G135="H",0.02,0.05)),IF(G135="H",-0.02*H135,-0.05*H135))),2)</f>
        <v>-33234.82</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3041224.07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Payments'!Q119</f>
        <v>-3044555.6599999997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-3331.589999999851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-3331.59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284</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348">
        <v>45200</v>
      </c>
      <c r="D11" s="348">
        <v>45200</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41"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24.67</v>
      </c>
      <c r="D14" s="141">
        <v>19.55</v>
      </c>
      <c r="E14" s="187">
        <f>IF(D$30=0,C14*2,C14+D14)</f>
        <v>44.22</v>
      </c>
      <c r="F14" s="687">
        <f>'1461'!F14:G14</f>
        <v>1.1220000000000001</v>
      </c>
      <c r="G14" s="687"/>
      <c r="H14" s="145">
        <f>ROUND(E14*F14,4)</f>
        <v>49.614800000000002</v>
      </c>
      <c r="I14" s="111">
        <f>ROUND(ROUND(ROUND(H14*$C$8,4)*($H$8),2)*(MAX($H$9,1)),2)</f>
        <v>266277.96999999997</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2.54</v>
      </c>
      <c r="D15" s="143">
        <v>1.5</v>
      </c>
      <c r="E15" s="116">
        <f t="shared" ref="E15:E29" si="1">IF(D$30=0,C15*2,C15+D15)</f>
        <v>4.04</v>
      </c>
      <c r="F15" s="679">
        <f>'1461'!F15:G15</f>
        <v>1.1220000000000001</v>
      </c>
      <c r="G15" s="679"/>
      <c r="H15" s="80">
        <f t="shared" ref="H15:H29" si="2">ROUND(E15*F15,4)</f>
        <v>4.5328999999999997</v>
      </c>
      <c r="I15" s="101">
        <f t="shared" ref="I15:I29" si="3">ROUND(ROUND(ROUND(H15*$C$8,4)*($H$8),2)*(MAX($H$9,1)),2)</f>
        <v>24327.65</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30.26</v>
      </c>
      <c r="D16" s="143">
        <v>23.07</v>
      </c>
      <c r="E16" s="116">
        <f t="shared" si="1"/>
        <v>53.33</v>
      </c>
      <c r="F16" s="679">
        <f>'1461'!F16:G16</f>
        <v>1</v>
      </c>
      <c r="G16" s="679"/>
      <c r="H16" s="80">
        <f t="shared" si="2"/>
        <v>53.33</v>
      </c>
      <c r="I16" s="101">
        <f t="shared" si="3"/>
        <v>286217.09999999998</v>
      </c>
      <c r="N16" s="621" t="s">
        <v>22</v>
      </c>
      <c r="O16" s="621"/>
      <c r="P16" s="662">
        <f t="shared" si="0"/>
        <v>0</v>
      </c>
      <c r="Q16" s="662"/>
      <c r="R16" s="667">
        <v>1</v>
      </c>
      <c r="S16" s="667"/>
      <c r="T16" s="95">
        <f t="shared" si="4"/>
        <v>0</v>
      </c>
      <c r="U16" s="486">
        <f t="shared" si="5"/>
        <v>0</v>
      </c>
    </row>
    <row r="17" spans="1:21" x14ac:dyDescent="0.25">
      <c r="A17" s="596" t="s">
        <v>23</v>
      </c>
      <c r="B17" s="596"/>
      <c r="C17" s="143">
        <v>5.04</v>
      </c>
      <c r="D17" s="143">
        <v>5</v>
      </c>
      <c r="E17" s="116">
        <f t="shared" si="1"/>
        <v>10.039999999999999</v>
      </c>
      <c r="F17" s="679">
        <f>'1461'!F17:G17</f>
        <v>1</v>
      </c>
      <c r="G17" s="679"/>
      <c r="H17" s="80">
        <f t="shared" si="2"/>
        <v>10.039999999999999</v>
      </c>
      <c r="I17" s="101">
        <f t="shared" si="3"/>
        <v>53883.74</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0</v>
      </c>
      <c r="D19" s="143">
        <v>0</v>
      </c>
      <c r="E19" s="116">
        <f t="shared" si="1"/>
        <v>0</v>
      </c>
      <c r="F19" s="679">
        <f>'1461'!F19:G19</f>
        <v>0.98799999999999999</v>
      </c>
      <c r="G19" s="679"/>
      <c r="H19" s="80">
        <f t="shared" si="2"/>
        <v>0</v>
      </c>
      <c r="I19" s="101">
        <f t="shared" si="3"/>
        <v>0</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3.84</v>
      </c>
      <c r="D26" s="143">
        <v>3.45</v>
      </c>
      <c r="E26" s="116">
        <f t="shared" si="1"/>
        <v>7.29</v>
      </c>
      <c r="F26" s="679">
        <f>'1461'!F26:G26</f>
        <v>1.208</v>
      </c>
      <c r="G26" s="679"/>
      <c r="H26" s="80">
        <f t="shared" si="2"/>
        <v>8.8063000000000002</v>
      </c>
      <c r="I26" s="101">
        <f t="shared" si="3"/>
        <v>47262.58</v>
      </c>
      <c r="N26" s="621" t="s">
        <v>85</v>
      </c>
      <c r="O26" s="621"/>
      <c r="P26" s="662">
        <f t="shared" si="0"/>
        <v>0</v>
      </c>
      <c r="Q26" s="662"/>
      <c r="R26" s="667">
        <v>1</v>
      </c>
      <c r="S26" s="667"/>
      <c r="T26" s="95">
        <f t="shared" si="4"/>
        <v>0</v>
      </c>
      <c r="U26" s="486">
        <f t="shared" si="5"/>
        <v>0</v>
      </c>
    </row>
    <row r="27" spans="1:21" x14ac:dyDescent="0.25">
      <c r="A27" s="596" t="s">
        <v>86</v>
      </c>
      <c r="B27" s="596"/>
      <c r="C27" s="143">
        <v>2.67</v>
      </c>
      <c r="D27" s="143">
        <v>1.91</v>
      </c>
      <c r="E27" s="116">
        <f t="shared" si="1"/>
        <v>4.58</v>
      </c>
      <c r="F27" s="679">
        <f>'1461'!F27:G27</f>
        <v>1.208</v>
      </c>
      <c r="G27" s="679"/>
      <c r="H27" s="80">
        <f t="shared" si="2"/>
        <v>5.5326000000000004</v>
      </c>
      <c r="I27" s="101">
        <f t="shared" si="3"/>
        <v>29692.94</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69.02</v>
      </c>
      <c r="D30" s="94">
        <f>SUM(D14:D29)</f>
        <v>54.480000000000004</v>
      </c>
      <c r="E30" s="94">
        <f>SUM(E14:E29)</f>
        <v>123.5</v>
      </c>
      <c r="F30" s="600"/>
      <c r="G30" s="600"/>
      <c r="H30" s="99">
        <f>SUM(H14:H29)</f>
        <v>131.85659999999999</v>
      </c>
      <c r="I30" s="94">
        <f>SUM(I14:I29)</f>
        <v>707661.97999999986</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42">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44">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44">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44">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44">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36">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131.85659999999999</v>
      </c>
      <c r="F46" s="34"/>
      <c r="G46" s="106"/>
      <c r="H46" s="107" t="s">
        <v>98</v>
      </c>
      <c r="I46" s="94">
        <f>SUM(I44,I30)</f>
        <v>707661.97999999986</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974607.60999999987</v>
      </c>
      <c r="G51" s="109" t="s">
        <v>6</v>
      </c>
      <c r="H51" s="415">
        <v>4.5199999999999997E-2</v>
      </c>
      <c r="I51" s="101">
        <f>ROUND(F51*H51,2)</f>
        <v>44052.26</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974607.60999999987</v>
      </c>
      <c r="G52" s="109" t="s">
        <v>6</v>
      </c>
      <c r="H52" s="415">
        <v>1.41E-2</v>
      </c>
      <c r="I52" s="101">
        <f>ROUND(F52*H52,2)</f>
        <v>13741.97</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57794.23</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2.0299999999999998</v>
      </c>
      <c r="D57" s="143">
        <v>1</v>
      </c>
      <c r="E57" s="116">
        <f t="shared" ref="E57:E65" si="10">IF(D$66=0,C57*2,C57+D57)</f>
        <v>3.03</v>
      </c>
      <c r="F57" s="456" t="s">
        <v>462</v>
      </c>
      <c r="G57" s="456">
        <v>251</v>
      </c>
      <c r="H57" s="470">
        <f>'1461'!H57</f>
        <v>1047</v>
      </c>
      <c r="I57" s="101">
        <f>ROUND(E57*H57,2)</f>
        <v>3172.41</v>
      </c>
      <c r="N57" s="638" t="s">
        <v>470</v>
      </c>
      <c r="O57" s="638"/>
      <c r="P57" s="641"/>
      <c r="Q57" s="641"/>
      <c r="R57" s="462" t="s">
        <v>462</v>
      </c>
      <c r="S57" s="462">
        <v>251</v>
      </c>
      <c r="T57" s="473">
        <f>H57</f>
        <v>1047</v>
      </c>
      <c r="U57" s="487">
        <f>ROUND(P57*T57,2)</f>
        <v>0</v>
      </c>
      <c r="V57" s="438"/>
    </row>
    <row r="58" spans="1:22" x14ac:dyDescent="0.25">
      <c r="A58" s="607"/>
      <c r="B58" s="607"/>
      <c r="C58" s="143">
        <v>0.51</v>
      </c>
      <c r="D58" s="143">
        <v>0.5</v>
      </c>
      <c r="E58" s="116">
        <f t="shared" si="10"/>
        <v>1.01</v>
      </c>
      <c r="F58" s="456" t="s">
        <v>462</v>
      </c>
      <c r="G58" s="456">
        <v>252</v>
      </c>
      <c r="H58" s="470">
        <f>'1461'!H58</f>
        <v>3380</v>
      </c>
      <c r="I58" s="101">
        <f t="shared" ref="I58:I65" si="11">ROUND(E58*H58,2)</f>
        <v>3413.8</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3.53</v>
      </c>
      <c r="D60" s="143">
        <v>3.98</v>
      </c>
      <c r="E60" s="116">
        <f t="shared" si="10"/>
        <v>7.51</v>
      </c>
      <c r="F60" s="457" t="s">
        <v>13</v>
      </c>
      <c r="G60" s="456">
        <v>251</v>
      </c>
      <c r="H60" s="470">
        <f>'1461'!H60</f>
        <v>1173</v>
      </c>
      <c r="I60" s="101">
        <f t="shared" si="11"/>
        <v>8809.23</v>
      </c>
      <c r="N60" s="639"/>
      <c r="O60" s="639"/>
      <c r="P60" s="642"/>
      <c r="Q60" s="642"/>
      <c r="R60" s="40" t="s">
        <v>13</v>
      </c>
      <c r="S60" s="462">
        <v>251</v>
      </c>
      <c r="T60" s="473">
        <f t="shared" si="12"/>
        <v>1173</v>
      </c>
      <c r="U60" s="487">
        <f t="shared" si="13"/>
        <v>0</v>
      </c>
      <c r="V60" s="438"/>
    </row>
    <row r="61" spans="1:22" x14ac:dyDescent="0.25">
      <c r="A61" s="607"/>
      <c r="B61" s="607"/>
      <c r="C61" s="143">
        <v>1.51</v>
      </c>
      <c r="D61" s="143">
        <v>1.02</v>
      </c>
      <c r="E61" s="116">
        <f t="shared" si="10"/>
        <v>2.5300000000000002</v>
      </c>
      <c r="F61" s="457" t="s">
        <v>13</v>
      </c>
      <c r="G61" s="456">
        <v>252</v>
      </c>
      <c r="H61" s="470">
        <f>'1461'!H61</f>
        <v>3506</v>
      </c>
      <c r="I61" s="101">
        <f t="shared" si="11"/>
        <v>8870.18</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7.58</v>
      </c>
      <c r="D66" s="97">
        <f>SUM(D57:D65)</f>
        <v>6.5</v>
      </c>
      <c r="E66" s="97">
        <f>SUM(E57:E65)</f>
        <v>14.080000000000002</v>
      </c>
      <c r="F66" s="608" t="s">
        <v>471</v>
      </c>
      <c r="G66" s="608"/>
      <c r="H66" s="608"/>
      <c r="I66" s="97">
        <f>SUM(I57:I65)</f>
        <v>24265.62</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123.5</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6.0899999999999995E-4</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131.85659999999999</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5.7799999999999995E-4</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123.5</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6.6100000000000002E-4</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123.5</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6.0999999999999997E-4</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123.5</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6.6299999999999996E-4</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6.0999999999999997E-4</v>
      </c>
      <c r="I85" s="101">
        <f>ROUND(F85*H85,2)</f>
        <v>27146.61</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53"/>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6.0899999999999995E-4</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6.6299999999999996E-4</v>
      </c>
      <c r="I90" s="101">
        <f>ROUND(F90*H90,2)</f>
        <v>10812.98</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6.6100000000000002E-4</v>
      </c>
      <c r="I92" s="101">
        <f t="shared" ref="I92:I96" si="14">ROUND(F92*H92,2)</f>
        <v>6708.26</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5.7799999999999995E-4</v>
      </c>
      <c r="I94" s="101">
        <f t="shared" si="14"/>
        <v>138140.66</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5.7799999999999995E-4</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6.0899999999999995E-4</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62.954000000000001</v>
      </c>
      <c r="D104" s="614"/>
      <c r="E104" s="46">
        <f>H8</f>
        <v>1.0442</v>
      </c>
      <c r="F104" s="302">
        <f>'1461'!F104</f>
        <v>947.59</v>
      </c>
      <c r="G104" s="39" t="s">
        <v>12</v>
      </c>
      <c r="H104" s="101">
        <f>ROUND(C104*E104*F104,2)</f>
        <v>62291.31</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68.902599999999993</v>
      </c>
      <c r="D105" s="614"/>
      <c r="E105" s="46">
        <f>H8</f>
        <v>1.0442</v>
      </c>
      <c r="F105" s="302">
        <f>'1461'!F105</f>
        <v>904.74</v>
      </c>
      <c r="G105" s="39" t="s">
        <v>12</v>
      </c>
      <c r="H105" s="101">
        <f>ROUND(C105*E105*F105,2)</f>
        <v>65094.32</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131.85659999999999</v>
      </c>
      <c r="D107" s="604"/>
      <c r="E107" s="123"/>
      <c r="F107" s="123"/>
      <c r="G107" s="123"/>
      <c r="H107" s="124" t="s">
        <v>100</v>
      </c>
      <c r="I107" s="101">
        <f>IF(A1=75,0,H106+H105+H104)</f>
        <v>127385.63</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41"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0</v>
      </c>
      <c r="D113" s="143">
        <v>0</v>
      </c>
      <c r="E113" s="144">
        <f>(C113+D113)/2</f>
        <v>0</v>
      </c>
      <c r="F113" s="126" t="s">
        <v>30</v>
      </c>
      <c r="G113" s="303">
        <f>'1461'!G113</f>
        <v>536</v>
      </c>
      <c r="I113" s="101">
        <f>ROUND(G113*E113,2)</f>
        <v>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44">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42">
        <f>IF(D30=0,C121*2,C121+D121)</f>
        <v>0</v>
      </c>
      <c r="F121" s="696">
        <v>0</v>
      </c>
      <c r="G121" s="696"/>
      <c r="H121" s="61">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44">
        <f>IF(D31=0,C122*2,C122+D122)</f>
        <v>0</v>
      </c>
      <c r="F122" s="616">
        <f>ROUND(F121/2,2)</f>
        <v>0</v>
      </c>
      <c r="G122" s="616"/>
      <c r="H122" s="61">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44">
        <f>IF(D32=0,C123*2,C123+D123)</f>
        <v>0</v>
      </c>
      <c r="F123" s="617"/>
      <c r="G123" s="617"/>
      <c r="H123" s="63">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1042121.7399999999</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984327.50999999989</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984327.50999999989</v>
      </c>
      <c r="I135" s="94">
        <f>ROUND(IF(E30=0,0,IF(E30&gt;250,-(((250/E30)*H135)*IF(G135="H",0.02,0.05)),IF(G135="H",-0.02*H135,-0.05*H135))),2)</f>
        <v>-49216.38</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992905.35999999987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Payments'!Q120</f>
        <v>-984623.17999999993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8282.1799999999348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8282.18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125"/>
  <sheetViews>
    <sheetView topLeftCell="B34" zoomScaleNormal="100" workbookViewId="0">
      <selection activeCell="J60" sqref="J60"/>
    </sheetView>
  </sheetViews>
  <sheetFormatPr defaultColWidth="9.140625" defaultRowHeight="15" x14ac:dyDescent="0.25"/>
  <cols>
    <col min="1" max="1" width="9.140625" style="515"/>
    <col min="2" max="2" width="9.140625" style="516"/>
    <col min="3" max="3" width="43.42578125" style="515" bestFit="1" customWidth="1"/>
    <col min="4" max="4" width="15.28515625" style="517" bestFit="1" customWidth="1"/>
    <col min="5" max="5" width="14.28515625" style="517" bestFit="1" customWidth="1"/>
    <col min="6" max="9" width="14.28515625" style="515" bestFit="1" customWidth="1"/>
    <col min="10" max="10" width="16.85546875" style="515" bestFit="1" customWidth="1"/>
    <col min="11" max="11" width="14.140625" style="527" customWidth="1"/>
    <col min="12" max="16" width="14" style="515" bestFit="1" customWidth="1"/>
    <col min="17" max="17" width="15.28515625" style="515" bestFit="1" customWidth="1"/>
    <col min="18" max="18" width="15" style="515" bestFit="1" customWidth="1"/>
    <col min="19" max="19" width="9.140625" style="515"/>
    <col min="20" max="20" width="10.5703125" style="515" bestFit="1" customWidth="1"/>
    <col min="21" max="16384" width="9.140625" style="515"/>
  </cols>
  <sheetData>
    <row r="1" spans="1:20" x14ac:dyDescent="0.25">
      <c r="A1" s="533" t="s">
        <v>524</v>
      </c>
    </row>
    <row r="4" spans="1:20" s="523" customFormat="1" ht="45" x14ac:dyDescent="0.25">
      <c r="A4" s="523" t="s">
        <v>329</v>
      </c>
      <c r="B4" s="524" t="s">
        <v>329</v>
      </c>
      <c r="C4" s="523" t="s">
        <v>329</v>
      </c>
      <c r="D4" s="534" t="s">
        <v>295</v>
      </c>
      <c r="E4" s="534" t="s">
        <v>500</v>
      </c>
      <c r="F4" s="524" t="s">
        <v>501</v>
      </c>
      <c r="G4" s="524" t="s">
        <v>502</v>
      </c>
      <c r="H4" s="524" t="s">
        <v>503</v>
      </c>
      <c r="I4" s="524" t="s">
        <v>504</v>
      </c>
      <c r="J4" s="524" t="s">
        <v>505</v>
      </c>
      <c r="K4" s="535" t="s">
        <v>506</v>
      </c>
      <c r="L4" s="524" t="s">
        <v>507</v>
      </c>
      <c r="M4" s="524" t="s">
        <v>508</v>
      </c>
      <c r="N4" s="524" t="s">
        <v>509</v>
      </c>
      <c r="O4" s="524" t="s">
        <v>510</v>
      </c>
      <c r="P4" s="524" t="s">
        <v>511</v>
      </c>
      <c r="Q4" s="524" t="s">
        <v>8</v>
      </c>
      <c r="R4" s="525" t="s">
        <v>515</v>
      </c>
      <c r="T4" s="523" t="s">
        <v>545</v>
      </c>
    </row>
    <row r="5" spans="1:20" x14ac:dyDescent="0.25">
      <c r="A5" s="515">
        <v>1</v>
      </c>
      <c r="B5" s="516" t="s">
        <v>512</v>
      </c>
      <c r="C5" s="515" t="s">
        <v>513</v>
      </c>
      <c r="E5" s="517">
        <v>70894.16</v>
      </c>
      <c r="Q5" s="518"/>
      <c r="R5" s="528"/>
    </row>
    <row r="6" spans="1:20" x14ac:dyDescent="0.25">
      <c r="A6" s="515">
        <v>2</v>
      </c>
      <c r="B6" s="516" t="s">
        <v>159</v>
      </c>
      <c r="C6" s="515" t="s">
        <v>191</v>
      </c>
      <c r="D6" s="517">
        <v>6465626.7799999993</v>
      </c>
      <c r="E6" s="549">
        <v>530592.16</v>
      </c>
      <c r="F6" s="549">
        <v>497434.56</v>
      </c>
      <c r="G6" s="549">
        <v>503359.51</v>
      </c>
      <c r="H6" s="549">
        <v>503359.51</v>
      </c>
      <c r="I6" s="549">
        <v>503359.51</v>
      </c>
      <c r="J6" s="549">
        <v>503359.51</v>
      </c>
      <c r="K6" s="550">
        <v>570693.67000000004</v>
      </c>
      <c r="L6" s="551">
        <v>575325.16</v>
      </c>
      <c r="M6" s="551">
        <v>575425.39</v>
      </c>
      <c r="N6" s="518">
        <v>543213.47</v>
      </c>
      <c r="O6" s="547">
        <v>543213.48</v>
      </c>
      <c r="P6" s="547">
        <v>533766.65</v>
      </c>
      <c r="Q6" s="518">
        <f>SUM(E6:P6)</f>
        <v>6383102.5800000001</v>
      </c>
      <c r="R6" s="528">
        <f>SUM(E6:P6)</f>
        <v>6383102.5800000001</v>
      </c>
    </row>
    <row r="7" spans="1:20" x14ac:dyDescent="0.25">
      <c r="A7" s="515">
        <v>3</v>
      </c>
      <c r="B7" s="516" t="s">
        <v>160</v>
      </c>
      <c r="C7" s="515" t="s">
        <v>193</v>
      </c>
      <c r="D7" s="517">
        <v>8800807.9299999997</v>
      </c>
      <c r="E7" s="549">
        <v>819717.67</v>
      </c>
      <c r="F7" s="549">
        <v>768922.08</v>
      </c>
      <c r="G7" s="549">
        <v>768922.08</v>
      </c>
      <c r="H7" s="549">
        <v>768922.08</v>
      </c>
      <c r="I7" s="549">
        <v>768922.08</v>
      </c>
      <c r="J7" s="549">
        <v>768922.08</v>
      </c>
      <c r="K7" s="550">
        <v>689413.31</v>
      </c>
      <c r="L7" s="551">
        <v>698338.3</v>
      </c>
      <c r="M7" s="551">
        <v>698129.59</v>
      </c>
      <c r="N7" s="518">
        <v>668343.61</v>
      </c>
      <c r="O7" s="547">
        <v>668343.62</v>
      </c>
      <c r="P7" s="547">
        <v>658040.53</v>
      </c>
      <c r="Q7" s="518">
        <f t="shared" ref="Q7:Q52" si="0">SUM(E7:P7)</f>
        <v>8744937.0300000012</v>
      </c>
      <c r="R7" s="528">
        <f t="shared" ref="R7:R52" si="1">SUM(E7:P7)</f>
        <v>8744937.0300000012</v>
      </c>
    </row>
    <row r="8" spans="1:20" x14ac:dyDescent="0.25">
      <c r="A8" s="515">
        <v>4</v>
      </c>
      <c r="B8" s="516" t="s">
        <v>161</v>
      </c>
      <c r="C8" s="515" t="s">
        <v>194</v>
      </c>
      <c r="D8" s="517">
        <v>1136086.1599999999</v>
      </c>
      <c r="E8" s="549">
        <v>93289.4</v>
      </c>
      <c r="F8" s="549">
        <v>109048.72</v>
      </c>
      <c r="G8" s="549">
        <v>109048.72</v>
      </c>
      <c r="H8" s="549">
        <v>109048.72</v>
      </c>
      <c r="I8" s="549">
        <v>109048.73</v>
      </c>
      <c r="J8" s="549">
        <f>109048.72+0.01</f>
        <v>109048.73</v>
      </c>
      <c r="K8" s="550">
        <f>82925.53-0.01</f>
        <v>82925.52</v>
      </c>
      <c r="L8" s="551">
        <v>82167.53</v>
      </c>
      <c r="M8" s="551">
        <v>82269.09</v>
      </c>
      <c r="N8" s="518">
        <v>85766.91</v>
      </c>
      <c r="O8" s="547">
        <v>85766.91</v>
      </c>
      <c r="P8" s="547">
        <v>82821.72</v>
      </c>
      <c r="Q8" s="518">
        <f t="shared" si="0"/>
        <v>1140250.7</v>
      </c>
      <c r="R8" s="528">
        <f t="shared" si="1"/>
        <v>1140250.7</v>
      </c>
    </row>
    <row r="9" spans="1:20" x14ac:dyDescent="0.25">
      <c r="A9" s="515">
        <v>5</v>
      </c>
      <c r="B9" s="516" t="s">
        <v>162</v>
      </c>
      <c r="C9" s="515" t="s">
        <v>195</v>
      </c>
      <c r="D9" s="517">
        <v>886014.05</v>
      </c>
      <c r="E9" s="549">
        <v>81895.520000000004</v>
      </c>
      <c r="F9" s="549">
        <v>78877.490000000005</v>
      </c>
      <c r="G9" s="549">
        <v>78877.490000000005</v>
      </c>
      <c r="H9" s="549">
        <v>78877.490000000005</v>
      </c>
      <c r="I9" s="549">
        <v>78877.490000000005</v>
      </c>
      <c r="J9" s="549">
        <v>78877.490000000005</v>
      </c>
      <c r="K9" s="550">
        <v>68288.509999999995</v>
      </c>
      <c r="L9" s="551">
        <v>70746.64</v>
      </c>
      <c r="M9" s="551">
        <v>70988.27</v>
      </c>
      <c r="N9" s="518">
        <v>68506.22</v>
      </c>
      <c r="O9" s="547">
        <v>68506.22</v>
      </c>
      <c r="P9" s="547">
        <v>68506.22</v>
      </c>
      <c r="Q9" s="518">
        <f t="shared" si="0"/>
        <v>891825.04999999993</v>
      </c>
      <c r="R9" s="528">
        <f t="shared" si="1"/>
        <v>891825.04999999993</v>
      </c>
    </row>
    <row r="10" spans="1:20" x14ac:dyDescent="0.25">
      <c r="A10" s="515">
        <v>6</v>
      </c>
      <c r="B10" s="516" t="s">
        <v>163</v>
      </c>
      <c r="C10" s="515" t="s">
        <v>296</v>
      </c>
      <c r="D10" s="517">
        <v>3901125.55</v>
      </c>
      <c r="E10" s="549">
        <v>412342.41</v>
      </c>
      <c r="F10" s="549">
        <v>394662.79</v>
      </c>
      <c r="G10" s="549">
        <v>394662.79</v>
      </c>
      <c r="H10" s="549">
        <v>394662.79</v>
      </c>
      <c r="I10" s="549">
        <v>394662.79</v>
      </c>
      <c r="J10" s="549">
        <v>394662.79</v>
      </c>
      <c r="K10" s="550">
        <v>252578.2</v>
      </c>
      <c r="L10" s="551">
        <v>252578.2</v>
      </c>
      <c r="M10" s="551">
        <v>253777.35</v>
      </c>
      <c r="N10" s="518">
        <v>384675.28</v>
      </c>
      <c r="O10" s="547">
        <v>384675.28</v>
      </c>
      <c r="P10" s="547">
        <v>387314.27</v>
      </c>
      <c r="Q10" s="518">
        <f>SUM(E10:P10)</f>
        <v>4301254.9400000013</v>
      </c>
      <c r="R10" s="528">
        <f t="shared" si="1"/>
        <v>4301254.9400000013</v>
      </c>
    </row>
    <row r="11" spans="1:20" x14ac:dyDescent="0.25">
      <c r="A11" s="515">
        <v>7</v>
      </c>
      <c r="B11" s="516" t="s">
        <v>164</v>
      </c>
      <c r="C11" s="515" t="s">
        <v>379</v>
      </c>
      <c r="D11" s="517">
        <v>5418424.2300000004</v>
      </c>
      <c r="E11" s="549">
        <v>451535.35</v>
      </c>
      <c r="F11" s="549">
        <v>430423.13</v>
      </c>
      <c r="G11" s="549">
        <v>430423.13</v>
      </c>
      <c r="H11" s="549">
        <v>430423.13</v>
      </c>
      <c r="I11" s="549">
        <v>430423.13</v>
      </c>
      <c r="J11" s="549">
        <v>430423.13</v>
      </c>
      <c r="K11" s="550">
        <v>427648.38</v>
      </c>
      <c r="L11" s="551">
        <v>426043.01</v>
      </c>
      <c r="M11" s="551">
        <v>426836.22</v>
      </c>
      <c r="N11" s="518">
        <v>422717.57</v>
      </c>
      <c r="O11" s="547">
        <v>422717.56</v>
      </c>
      <c r="P11" s="547">
        <v>419463.85</v>
      </c>
      <c r="Q11" s="518">
        <f t="shared" si="0"/>
        <v>5149077.5899999989</v>
      </c>
      <c r="R11" s="528">
        <f t="shared" si="1"/>
        <v>5149077.5899999989</v>
      </c>
    </row>
    <row r="12" spans="1:20" x14ac:dyDescent="0.25">
      <c r="A12" s="515">
        <v>8</v>
      </c>
      <c r="B12" s="516" t="s">
        <v>165</v>
      </c>
      <c r="C12" s="515" t="s">
        <v>197</v>
      </c>
      <c r="D12" s="517">
        <v>5000155.3500000006</v>
      </c>
      <c r="E12" s="549">
        <v>416679.61</v>
      </c>
      <c r="F12" s="549">
        <v>395461.3</v>
      </c>
      <c r="G12" s="549">
        <v>395461.3</v>
      </c>
      <c r="H12" s="549">
        <v>395461.3</v>
      </c>
      <c r="I12" s="549">
        <v>395461.3</v>
      </c>
      <c r="J12" s="549">
        <v>395461.3</v>
      </c>
      <c r="K12" s="550">
        <v>494960.71</v>
      </c>
      <c r="L12" s="551">
        <v>496612.89</v>
      </c>
      <c r="M12" s="551">
        <v>498381.8</v>
      </c>
      <c r="N12" s="518">
        <v>495829.93</v>
      </c>
      <c r="O12" s="547">
        <v>495829.93</v>
      </c>
      <c r="P12" s="547">
        <v>500677.95</v>
      </c>
      <c r="Q12" s="518">
        <f t="shared" si="0"/>
        <v>5376279.3199999994</v>
      </c>
      <c r="R12" s="528">
        <f t="shared" si="1"/>
        <v>5376279.3199999994</v>
      </c>
    </row>
    <row r="13" spans="1:20" x14ac:dyDescent="0.25">
      <c r="A13" s="515">
        <v>9</v>
      </c>
      <c r="B13" s="516" t="s">
        <v>166</v>
      </c>
      <c r="C13" s="515" t="s">
        <v>198</v>
      </c>
      <c r="D13" s="517">
        <v>10745865.350000001</v>
      </c>
      <c r="E13" s="549">
        <v>895488.78</v>
      </c>
      <c r="F13" s="549">
        <v>892448.71</v>
      </c>
      <c r="G13" s="549">
        <v>892448.71</v>
      </c>
      <c r="H13" s="549">
        <v>892448.71</v>
      </c>
      <c r="I13" s="549">
        <v>892448.72</v>
      </c>
      <c r="J13" s="549">
        <v>892448.71</v>
      </c>
      <c r="K13" s="550">
        <v>784923.73</v>
      </c>
      <c r="L13" s="551">
        <v>783933.27</v>
      </c>
      <c r="M13" s="551">
        <v>786962.75</v>
      </c>
      <c r="N13" s="518">
        <v>772221.93</v>
      </c>
      <c r="O13" s="547">
        <v>772221.94</v>
      </c>
      <c r="P13" s="547">
        <v>773769.41</v>
      </c>
      <c r="Q13" s="518">
        <f t="shared" si="0"/>
        <v>10031765.369999999</v>
      </c>
      <c r="R13" s="528">
        <f t="shared" si="1"/>
        <v>10031765.369999999</v>
      </c>
    </row>
    <row r="14" spans="1:20" x14ac:dyDescent="0.25">
      <c r="A14" s="515">
        <v>10</v>
      </c>
      <c r="B14" s="516" t="s">
        <v>167</v>
      </c>
      <c r="C14" s="515" t="s">
        <v>388</v>
      </c>
      <c r="D14" s="517">
        <v>4330877.9400000004</v>
      </c>
      <c r="E14" s="549">
        <v>360906.5</v>
      </c>
      <c r="F14" s="549">
        <v>350076.14</v>
      </c>
      <c r="G14" s="549">
        <v>350076.14</v>
      </c>
      <c r="H14" s="549">
        <v>350076.14</v>
      </c>
      <c r="I14" s="549">
        <v>350076.14</v>
      </c>
      <c r="J14" s="549">
        <v>350076.14</v>
      </c>
      <c r="K14" s="550">
        <v>353278.31</v>
      </c>
      <c r="L14" s="551">
        <v>353278.31</v>
      </c>
      <c r="M14" s="551">
        <v>354607.9</v>
      </c>
      <c r="N14" s="518">
        <v>525836.49</v>
      </c>
      <c r="O14" s="547">
        <v>525836.49</v>
      </c>
      <c r="P14" s="547">
        <v>525836.49</v>
      </c>
      <c r="Q14" s="518">
        <f t="shared" si="0"/>
        <v>4749961.1900000004</v>
      </c>
      <c r="R14" s="528">
        <f t="shared" si="1"/>
        <v>4749961.1900000004</v>
      </c>
    </row>
    <row r="15" spans="1:20" x14ac:dyDescent="0.25">
      <c r="A15" s="515">
        <v>11</v>
      </c>
      <c r="B15" s="516" t="s">
        <v>168</v>
      </c>
      <c r="C15" s="515" t="s">
        <v>387</v>
      </c>
      <c r="D15" s="517">
        <v>490790.34</v>
      </c>
      <c r="E15" s="549">
        <v>40899.199999999997</v>
      </c>
      <c r="F15" s="549">
        <v>59569.32</v>
      </c>
      <c r="G15" s="549">
        <v>59569.32</v>
      </c>
      <c r="H15" s="549">
        <v>59569.32</v>
      </c>
      <c r="I15" s="549">
        <v>59569.32</v>
      </c>
      <c r="J15" s="549">
        <v>59569.31</v>
      </c>
      <c r="K15" s="550">
        <v>112774.56</v>
      </c>
      <c r="L15" s="551">
        <v>114233.79</v>
      </c>
      <c r="M15" s="551">
        <v>114157.02</v>
      </c>
      <c r="N15" s="518">
        <v>111709.19</v>
      </c>
      <c r="O15" s="547">
        <v>111709.2</v>
      </c>
      <c r="P15" s="547">
        <v>112105.57</v>
      </c>
      <c r="Q15" s="518">
        <f t="shared" si="0"/>
        <v>1015435.1200000001</v>
      </c>
      <c r="R15" s="528">
        <f t="shared" si="1"/>
        <v>1015435.1200000001</v>
      </c>
    </row>
    <row r="16" spans="1:20" x14ac:dyDescent="0.25">
      <c r="A16" s="515">
        <v>12</v>
      </c>
      <c r="B16" s="516" t="s">
        <v>169</v>
      </c>
      <c r="C16" s="515" t="s">
        <v>201</v>
      </c>
      <c r="D16" s="517">
        <v>9256402.1899999995</v>
      </c>
      <c r="E16" s="549">
        <v>771366.85</v>
      </c>
      <c r="F16" s="549">
        <v>728430.29</v>
      </c>
      <c r="G16" s="549">
        <v>728430.29</v>
      </c>
      <c r="H16" s="549">
        <v>728430.29</v>
      </c>
      <c r="I16" s="549">
        <v>728430.29</v>
      </c>
      <c r="J16" s="549">
        <v>728430.29</v>
      </c>
      <c r="K16" s="550">
        <v>730234.96</v>
      </c>
      <c r="L16" s="551">
        <v>731395.38</v>
      </c>
      <c r="M16" s="551">
        <v>733936.04</v>
      </c>
      <c r="N16" s="518">
        <v>737714.3</v>
      </c>
      <c r="O16" s="547">
        <v>737714.31</v>
      </c>
      <c r="P16" s="547">
        <v>737662.44</v>
      </c>
      <c r="Q16" s="518">
        <f t="shared" si="0"/>
        <v>8822175.7300000004</v>
      </c>
      <c r="R16" s="528">
        <f t="shared" si="1"/>
        <v>8822175.7300000004</v>
      </c>
    </row>
    <row r="17" spans="1:18" x14ac:dyDescent="0.25">
      <c r="A17" s="515">
        <v>13</v>
      </c>
      <c r="B17" s="516" t="s">
        <v>170</v>
      </c>
      <c r="C17" s="515" t="s">
        <v>203</v>
      </c>
      <c r="D17" s="517">
        <v>2326171.2199999997</v>
      </c>
      <c r="E17" s="549">
        <v>193847.6</v>
      </c>
      <c r="F17" s="549">
        <v>183750.86</v>
      </c>
      <c r="G17" s="549">
        <v>183750.86</v>
      </c>
      <c r="H17" s="549">
        <v>183750.85</v>
      </c>
      <c r="I17" s="549">
        <v>183750.86</v>
      </c>
      <c r="J17" s="549">
        <v>183750.85</v>
      </c>
      <c r="K17" s="550">
        <v>169104.09</v>
      </c>
      <c r="L17" s="551">
        <v>173819.32</v>
      </c>
      <c r="M17" s="551">
        <v>173460.05</v>
      </c>
      <c r="N17" s="518">
        <v>174603.37</v>
      </c>
      <c r="O17" s="547">
        <v>174603.37</v>
      </c>
      <c r="P17" s="547">
        <v>174120.99</v>
      </c>
      <c r="Q17" s="518">
        <f t="shared" si="0"/>
        <v>2152313.0700000003</v>
      </c>
      <c r="R17" s="528">
        <f t="shared" si="1"/>
        <v>2152313.0700000003</v>
      </c>
    </row>
    <row r="18" spans="1:18" x14ac:dyDescent="0.25">
      <c r="A18" s="515">
        <v>14</v>
      </c>
      <c r="B18" s="516" t="s">
        <v>171</v>
      </c>
      <c r="C18" s="515" t="s">
        <v>205</v>
      </c>
      <c r="D18" s="517">
        <v>321142.53999999998</v>
      </c>
      <c r="E18" s="549">
        <v>26761.88</v>
      </c>
      <c r="F18" s="549">
        <v>39479.72</v>
      </c>
      <c r="G18" s="549">
        <v>39479.72</v>
      </c>
      <c r="H18" s="549">
        <v>39479.72</v>
      </c>
      <c r="I18" s="549">
        <v>39479.72</v>
      </c>
      <c r="J18" s="549">
        <v>39479.72</v>
      </c>
      <c r="K18" s="550">
        <v>22223.53</v>
      </c>
      <c r="L18" s="551">
        <v>22492.77</v>
      </c>
      <c r="M18" s="551">
        <v>22460.67</v>
      </c>
      <c r="N18" s="518">
        <v>34010.42</v>
      </c>
      <c r="O18" s="547">
        <v>34010.42</v>
      </c>
      <c r="P18" s="547">
        <v>32322.26</v>
      </c>
      <c r="Q18" s="518">
        <f t="shared" si="0"/>
        <v>391680.55</v>
      </c>
      <c r="R18" s="528">
        <f t="shared" si="1"/>
        <v>391680.55</v>
      </c>
    </row>
    <row r="19" spans="1:18" x14ac:dyDescent="0.25">
      <c r="A19" s="515">
        <v>15</v>
      </c>
      <c r="B19" s="516" t="s">
        <v>172</v>
      </c>
      <c r="C19" s="515" t="s">
        <v>206</v>
      </c>
      <c r="D19" s="517">
        <v>1775069.4699999995</v>
      </c>
      <c r="E19" s="549">
        <v>147922.46</v>
      </c>
      <c r="F19" s="549">
        <v>140413.24</v>
      </c>
      <c r="G19" s="549">
        <v>140413.24</v>
      </c>
      <c r="H19" s="549">
        <v>140413.24</v>
      </c>
      <c r="I19" s="549">
        <v>140413.24</v>
      </c>
      <c r="J19" s="549">
        <v>140413.24</v>
      </c>
      <c r="K19" s="550">
        <v>142387.44</v>
      </c>
      <c r="L19" s="551">
        <v>143516.54999999999</v>
      </c>
      <c r="M19" s="551">
        <v>143984.03</v>
      </c>
      <c r="N19" s="518">
        <v>138541.13</v>
      </c>
      <c r="O19" s="547">
        <v>138541.13</v>
      </c>
      <c r="P19" s="547">
        <v>141116.78</v>
      </c>
      <c r="Q19" s="518">
        <f t="shared" si="0"/>
        <v>1698075.72</v>
      </c>
      <c r="R19" s="528">
        <f t="shared" si="1"/>
        <v>1698075.72</v>
      </c>
    </row>
    <row r="20" spans="1:18" x14ac:dyDescent="0.25">
      <c r="A20" s="515">
        <v>16</v>
      </c>
      <c r="B20" s="516" t="s">
        <v>173</v>
      </c>
      <c r="C20" s="515" t="s">
        <v>297</v>
      </c>
      <c r="D20" s="517">
        <v>4432203.9800000004</v>
      </c>
      <c r="E20" s="549">
        <v>369350.33</v>
      </c>
      <c r="F20" s="549">
        <v>350402.76</v>
      </c>
      <c r="G20" s="549">
        <v>350402.77</v>
      </c>
      <c r="H20" s="549">
        <v>350402.76</v>
      </c>
      <c r="I20" s="549">
        <v>350402.77</v>
      </c>
      <c r="J20" s="549">
        <v>350402.76</v>
      </c>
      <c r="K20" s="550">
        <v>376373.89</v>
      </c>
      <c r="L20" s="551">
        <v>375403.27</v>
      </c>
      <c r="M20" s="551">
        <v>376760.54</v>
      </c>
      <c r="N20" s="518">
        <v>367158.99</v>
      </c>
      <c r="O20" s="547">
        <v>367159</v>
      </c>
      <c r="P20" s="547">
        <v>367495.28</v>
      </c>
      <c r="Q20" s="518">
        <f t="shared" si="0"/>
        <v>4351715.120000001</v>
      </c>
      <c r="R20" s="528">
        <f t="shared" si="1"/>
        <v>4351715.120000001</v>
      </c>
    </row>
    <row r="21" spans="1:18" x14ac:dyDescent="0.25">
      <c r="A21" s="515">
        <v>17</v>
      </c>
      <c r="B21" s="516" t="s">
        <v>174</v>
      </c>
      <c r="C21" s="515" t="s">
        <v>228</v>
      </c>
      <c r="D21" s="517">
        <v>6139041.1200000001</v>
      </c>
      <c r="E21" s="549">
        <v>511586.76</v>
      </c>
      <c r="F21" s="549">
        <v>483819.17</v>
      </c>
      <c r="G21" s="549">
        <v>483819.17</v>
      </c>
      <c r="H21" s="549">
        <v>483819.17</v>
      </c>
      <c r="I21" s="549">
        <v>483819.17</v>
      </c>
      <c r="J21" s="549">
        <v>483819.17</v>
      </c>
      <c r="K21" s="550">
        <v>415103.02</v>
      </c>
      <c r="L21" s="551">
        <v>429910.37</v>
      </c>
      <c r="M21" s="551">
        <v>430025.35</v>
      </c>
      <c r="N21" s="518">
        <v>406110.09</v>
      </c>
      <c r="O21" s="547">
        <v>406110.09</v>
      </c>
      <c r="P21" s="547">
        <v>373791.16</v>
      </c>
      <c r="Q21" s="518">
        <f t="shared" si="0"/>
        <v>5391732.6899999995</v>
      </c>
      <c r="R21" s="528">
        <f t="shared" si="1"/>
        <v>5391732.6899999995</v>
      </c>
    </row>
    <row r="22" spans="1:18" x14ac:dyDescent="0.25">
      <c r="A22" s="515">
        <v>18</v>
      </c>
      <c r="B22" s="516" t="s">
        <v>175</v>
      </c>
      <c r="C22" s="515" t="s">
        <v>196</v>
      </c>
      <c r="D22" s="517">
        <v>1129732.04</v>
      </c>
      <c r="E22" s="549">
        <v>94144.34</v>
      </c>
      <c r="F22" s="549">
        <v>87830.88</v>
      </c>
      <c r="G22" s="549">
        <v>87830.88</v>
      </c>
      <c r="H22" s="549">
        <v>87830.88</v>
      </c>
      <c r="I22" s="549">
        <v>87830.88</v>
      </c>
      <c r="J22" s="549">
        <v>87830.88</v>
      </c>
      <c r="K22" s="550">
        <v>74426.2</v>
      </c>
      <c r="L22" s="551">
        <v>75553.37</v>
      </c>
      <c r="M22" s="551">
        <v>75444.990000000005</v>
      </c>
      <c r="N22" s="518">
        <v>71143.570000000007</v>
      </c>
      <c r="O22" s="547">
        <v>71143.56</v>
      </c>
      <c r="P22" s="547">
        <v>69321.47</v>
      </c>
      <c r="Q22" s="518">
        <f t="shared" si="0"/>
        <v>970331.89999999991</v>
      </c>
      <c r="R22" s="528">
        <f t="shared" si="1"/>
        <v>970331.89999999991</v>
      </c>
    </row>
    <row r="23" spans="1:18" x14ac:dyDescent="0.25">
      <c r="A23" s="515">
        <v>19</v>
      </c>
      <c r="B23" s="516" t="s">
        <v>176</v>
      </c>
      <c r="C23" s="515" t="s">
        <v>190</v>
      </c>
      <c r="D23" s="517">
        <v>929661.03</v>
      </c>
      <c r="E23" s="549">
        <v>77471.75</v>
      </c>
      <c r="F23" s="549">
        <v>100380.53</v>
      </c>
      <c r="G23" s="549">
        <v>100380.53</v>
      </c>
      <c r="H23" s="549">
        <v>100380.53</v>
      </c>
      <c r="I23" s="549">
        <v>100380.53</v>
      </c>
      <c r="J23" s="549">
        <v>100380.53</v>
      </c>
      <c r="K23" s="550">
        <v>91347.75</v>
      </c>
      <c r="L23" s="551">
        <v>82154.64</v>
      </c>
      <c r="M23" s="551">
        <v>82068.460000000006</v>
      </c>
      <c r="N23" s="518">
        <v>93198.35</v>
      </c>
      <c r="O23" s="547">
        <v>93198.35</v>
      </c>
      <c r="P23" s="547">
        <v>87724.82</v>
      </c>
      <c r="Q23" s="518">
        <f t="shared" si="0"/>
        <v>1109066.77</v>
      </c>
      <c r="R23" s="528">
        <f t="shared" si="1"/>
        <v>1109066.77</v>
      </c>
    </row>
    <row r="24" spans="1:18" x14ac:dyDescent="0.25">
      <c r="A24" s="515">
        <v>20</v>
      </c>
      <c r="B24" s="516" t="s">
        <v>177</v>
      </c>
      <c r="C24" s="515" t="s">
        <v>207</v>
      </c>
      <c r="D24" s="517">
        <v>2853931.8799999994</v>
      </c>
      <c r="E24" s="549">
        <v>237827.66</v>
      </c>
      <c r="F24" s="549">
        <v>224112.15</v>
      </c>
      <c r="G24" s="549">
        <v>224112.15</v>
      </c>
      <c r="H24" s="549">
        <v>224112.15</v>
      </c>
      <c r="I24" s="549">
        <v>224112.15</v>
      </c>
      <c r="J24" s="549">
        <v>224112.15</v>
      </c>
      <c r="K24" s="550">
        <v>224736.36</v>
      </c>
      <c r="L24" s="551">
        <v>245661.04</v>
      </c>
      <c r="M24" s="551">
        <v>245512.17</v>
      </c>
      <c r="N24" s="518">
        <v>332948.53000000003</v>
      </c>
      <c r="O24" s="547">
        <v>332948.53999999998</v>
      </c>
      <c r="P24" s="547">
        <v>346849.74</v>
      </c>
      <c r="Q24" s="518">
        <f t="shared" si="0"/>
        <v>3087044.79</v>
      </c>
      <c r="R24" s="528">
        <f t="shared" si="1"/>
        <v>3087044.79</v>
      </c>
    </row>
    <row r="25" spans="1:18" x14ac:dyDescent="0.25">
      <c r="A25" s="515">
        <v>21</v>
      </c>
      <c r="B25" s="516" t="s">
        <v>178</v>
      </c>
      <c r="C25" s="515" t="s">
        <v>208</v>
      </c>
      <c r="D25" s="517">
        <v>3126675.4800000004</v>
      </c>
      <c r="E25" s="549">
        <v>260556.29</v>
      </c>
      <c r="F25" s="549">
        <v>245982.01</v>
      </c>
      <c r="G25" s="549">
        <v>245982.01</v>
      </c>
      <c r="H25" s="549">
        <v>245982</v>
      </c>
      <c r="I25" s="549">
        <v>245982.01</v>
      </c>
      <c r="J25" s="549">
        <v>245982</v>
      </c>
      <c r="K25" s="550">
        <v>281697.09000000003</v>
      </c>
      <c r="L25" s="551">
        <v>283058.8</v>
      </c>
      <c r="M25" s="551">
        <v>284124.53999999998</v>
      </c>
      <c r="N25" s="518">
        <v>281552.45</v>
      </c>
      <c r="O25" s="547">
        <v>281552.46000000002</v>
      </c>
      <c r="P25" s="547">
        <v>281444.09999999998</v>
      </c>
      <c r="Q25" s="518">
        <f t="shared" si="0"/>
        <v>3183895.7600000002</v>
      </c>
      <c r="R25" s="528">
        <f t="shared" si="1"/>
        <v>3183895.7600000002</v>
      </c>
    </row>
    <row r="26" spans="1:18" x14ac:dyDescent="0.25">
      <c r="A26" s="515">
        <v>22</v>
      </c>
      <c r="B26" s="516" t="s">
        <v>179</v>
      </c>
      <c r="C26" s="515" t="s">
        <v>209</v>
      </c>
      <c r="D26" s="517">
        <v>2607729.0599999996</v>
      </c>
      <c r="E26" s="549">
        <v>217310.76</v>
      </c>
      <c r="F26" s="549">
        <v>205255.16</v>
      </c>
      <c r="G26" s="549">
        <v>205255.16</v>
      </c>
      <c r="H26" s="549">
        <v>205255.16</v>
      </c>
      <c r="I26" s="549">
        <v>205255.16</v>
      </c>
      <c r="J26" s="549">
        <v>205255.15</v>
      </c>
      <c r="K26" s="550">
        <v>237417.83</v>
      </c>
      <c r="L26" s="551">
        <v>243644.19</v>
      </c>
      <c r="M26" s="551">
        <v>244115.99</v>
      </c>
      <c r="N26" s="518">
        <v>398715.22</v>
      </c>
      <c r="O26" s="547">
        <v>398715.22</v>
      </c>
      <c r="P26" s="547">
        <v>414868.11</v>
      </c>
      <c r="Q26" s="518">
        <f t="shared" si="0"/>
        <v>3181063.11</v>
      </c>
      <c r="R26" s="528">
        <f t="shared" si="1"/>
        <v>3181063.11</v>
      </c>
    </row>
    <row r="27" spans="1:18" x14ac:dyDescent="0.25">
      <c r="A27" s="515">
        <v>23</v>
      </c>
      <c r="B27" s="516" t="s">
        <v>180</v>
      </c>
      <c r="C27" s="515" t="s">
        <v>211</v>
      </c>
      <c r="D27" s="517">
        <v>8670588.2800000012</v>
      </c>
      <c r="E27" s="549">
        <v>722549.02</v>
      </c>
      <c r="F27" s="549">
        <v>688388.98</v>
      </c>
      <c r="G27" s="549">
        <v>688388.98</v>
      </c>
      <c r="H27" s="549">
        <v>688388.98</v>
      </c>
      <c r="I27" s="549">
        <v>688388.98</v>
      </c>
      <c r="J27" s="549">
        <v>688388.98</v>
      </c>
      <c r="K27" s="550">
        <v>691106.77</v>
      </c>
      <c r="L27" s="551">
        <v>689658.29</v>
      </c>
      <c r="M27" s="551">
        <v>692374.34</v>
      </c>
      <c r="N27" s="518">
        <v>667528.09</v>
      </c>
      <c r="O27" s="547">
        <v>667528.09</v>
      </c>
      <c r="P27" s="547">
        <v>669599.85</v>
      </c>
      <c r="Q27" s="518">
        <f t="shared" si="0"/>
        <v>8242289.3499999987</v>
      </c>
      <c r="R27" s="528">
        <f t="shared" si="1"/>
        <v>8242289.3499999987</v>
      </c>
    </row>
    <row r="28" spans="1:18" x14ac:dyDescent="0.25">
      <c r="A28" s="515">
        <v>24</v>
      </c>
      <c r="B28" s="516">
        <v>3441</v>
      </c>
      <c r="C28" s="515" t="s">
        <v>229</v>
      </c>
      <c r="D28" s="517">
        <v>4541105.46</v>
      </c>
      <c r="E28" s="549">
        <v>378425.46</v>
      </c>
      <c r="F28" s="549">
        <v>358334.41</v>
      </c>
      <c r="G28" s="549">
        <v>358334.41</v>
      </c>
      <c r="H28" s="549">
        <v>358334.41</v>
      </c>
      <c r="I28" s="549">
        <v>358334.41</v>
      </c>
      <c r="J28" s="549">
        <v>358334.41</v>
      </c>
      <c r="K28" s="550">
        <v>344999.34</v>
      </c>
      <c r="L28" s="551">
        <v>346239.61</v>
      </c>
      <c r="M28" s="551">
        <v>346190.82</v>
      </c>
      <c r="N28" s="518">
        <v>342327.14</v>
      </c>
      <c r="O28" s="547">
        <v>342327.14</v>
      </c>
      <c r="P28" s="547">
        <v>341769.43</v>
      </c>
      <c r="Q28" s="518">
        <f t="shared" si="0"/>
        <v>4233950.9899999993</v>
      </c>
      <c r="R28" s="528">
        <f t="shared" si="1"/>
        <v>4233950.9899999993</v>
      </c>
    </row>
    <row r="29" spans="1:18" x14ac:dyDescent="0.25">
      <c r="A29" s="515">
        <v>25</v>
      </c>
      <c r="B29" s="516">
        <v>3924</v>
      </c>
      <c r="C29" s="515" t="s">
        <v>378</v>
      </c>
      <c r="D29" s="517">
        <v>4335858.24</v>
      </c>
      <c r="E29" s="549">
        <v>361321.52</v>
      </c>
      <c r="F29" s="549">
        <v>342179.84000000003</v>
      </c>
      <c r="G29" s="549">
        <v>342179.84000000003</v>
      </c>
      <c r="H29" s="549">
        <v>342179.84000000003</v>
      </c>
      <c r="I29" s="549">
        <v>342179.85</v>
      </c>
      <c r="J29" s="549">
        <v>342179.84000000003</v>
      </c>
      <c r="K29" s="550">
        <v>287761.53000000003</v>
      </c>
      <c r="L29" s="551">
        <v>285613.34999999998</v>
      </c>
      <c r="M29" s="551">
        <v>285747.49</v>
      </c>
      <c r="N29" s="518">
        <v>280777.25</v>
      </c>
      <c r="O29" s="547">
        <v>280777.25</v>
      </c>
      <c r="P29" s="547">
        <v>276210.52</v>
      </c>
      <c r="Q29" s="518">
        <f t="shared" si="0"/>
        <v>3769108.1200000006</v>
      </c>
      <c r="R29" s="528">
        <f t="shared" si="1"/>
        <v>3769108.1200000006</v>
      </c>
    </row>
    <row r="30" spans="1:18" x14ac:dyDescent="0.25">
      <c r="A30" s="515">
        <v>26</v>
      </c>
      <c r="B30" s="516" t="s">
        <v>181</v>
      </c>
      <c r="C30" s="515" t="s">
        <v>192</v>
      </c>
      <c r="D30" s="517">
        <v>2193858</v>
      </c>
      <c r="E30" s="549">
        <v>182821.5</v>
      </c>
      <c r="F30" s="549">
        <v>173388.33</v>
      </c>
      <c r="G30" s="549">
        <v>173388.33</v>
      </c>
      <c r="H30" s="549">
        <v>173388.32</v>
      </c>
      <c r="I30" s="549">
        <v>173388.33</v>
      </c>
      <c r="J30" s="549">
        <v>173388.32</v>
      </c>
      <c r="K30" s="550">
        <v>189696.15</v>
      </c>
      <c r="L30" s="551">
        <v>190623.27</v>
      </c>
      <c r="M30" s="551">
        <v>191304.66</v>
      </c>
      <c r="N30" s="518">
        <v>178109.88</v>
      </c>
      <c r="O30" s="547">
        <v>178109.89</v>
      </c>
      <c r="P30" s="547">
        <v>179059</v>
      </c>
      <c r="Q30" s="518">
        <f t="shared" si="0"/>
        <v>2156665.98</v>
      </c>
      <c r="R30" s="528">
        <f t="shared" si="1"/>
        <v>2156665.98</v>
      </c>
    </row>
    <row r="31" spans="1:18" x14ac:dyDescent="0.25">
      <c r="A31" s="515">
        <v>27</v>
      </c>
      <c r="B31" s="516" t="s">
        <v>182</v>
      </c>
      <c r="C31" s="515" t="s">
        <v>202</v>
      </c>
      <c r="D31" s="517">
        <v>2946162.669999999</v>
      </c>
      <c r="E31" s="549">
        <v>245513.56</v>
      </c>
      <c r="F31" s="549">
        <v>233650.68</v>
      </c>
      <c r="G31" s="549">
        <v>233650.68</v>
      </c>
      <c r="H31" s="549">
        <v>233650.68</v>
      </c>
      <c r="I31" s="549">
        <v>233650.68</v>
      </c>
      <c r="J31" s="549">
        <v>233650.68</v>
      </c>
      <c r="K31" s="550">
        <v>209602.72</v>
      </c>
      <c r="L31" s="551">
        <v>209188.19</v>
      </c>
      <c r="M31" s="551">
        <v>210076.74</v>
      </c>
      <c r="N31" s="518">
        <v>206314.95</v>
      </c>
      <c r="O31" s="547">
        <v>206314.96</v>
      </c>
      <c r="P31" s="547">
        <v>208198.68</v>
      </c>
      <c r="Q31" s="518">
        <f t="shared" si="0"/>
        <v>2663463.1999999997</v>
      </c>
      <c r="R31" s="528">
        <f t="shared" si="1"/>
        <v>2663463.1999999997</v>
      </c>
    </row>
    <row r="32" spans="1:18" x14ac:dyDescent="0.25">
      <c r="A32" s="515">
        <v>28</v>
      </c>
      <c r="B32" s="516" t="s">
        <v>183</v>
      </c>
      <c r="C32" s="515" t="s">
        <v>341</v>
      </c>
      <c r="D32" s="517">
        <v>4843858.0200000005</v>
      </c>
      <c r="E32" s="549">
        <v>403654.84</v>
      </c>
      <c r="F32" s="549">
        <v>377049.44</v>
      </c>
      <c r="G32" s="549">
        <v>377049.44</v>
      </c>
      <c r="H32" s="549">
        <v>377049.44</v>
      </c>
      <c r="I32" s="549">
        <v>377049.44</v>
      </c>
      <c r="J32" s="549">
        <v>377049.44</v>
      </c>
      <c r="K32" s="550">
        <v>452107.54</v>
      </c>
      <c r="L32" s="551">
        <v>489020.22</v>
      </c>
      <c r="M32" s="551">
        <v>488989.04</v>
      </c>
      <c r="N32" s="518">
        <v>556520.71</v>
      </c>
      <c r="O32" s="547">
        <v>556520.72</v>
      </c>
      <c r="P32" s="547">
        <v>576948.01</v>
      </c>
      <c r="Q32" s="518">
        <f t="shared" si="0"/>
        <v>5409008.2799999993</v>
      </c>
      <c r="R32" s="528">
        <f t="shared" si="1"/>
        <v>5409008.2799999993</v>
      </c>
    </row>
    <row r="33" spans="1:18" x14ac:dyDescent="0.25">
      <c r="A33" s="515">
        <v>29</v>
      </c>
      <c r="B33" s="516" t="s">
        <v>184</v>
      </c>
      <c r="C33" s="515" t="s">
        <v>220</v>
      </c>
      <c r="D33" s="517">
        <v>6130266.0299999993</v>
      </c>
      <c r="E33" s="549">
        <v>510855.5</v>
      </c>
      <c r="F33" s="549">
        <v>486113.26</v>
      </c>
      <c r="G33" s="549">
        <v>486113.26</v>
      </c>
      <c r="H33" s="549">
        <v>486113.26</v>
      </c>
      <c r="I33" s="549">
        <v>486113.26</v>
      </c>
      <c r="J33" s="549">
        <v>486113.26</v>
      </c>
      <c r="K33" s="550">
        <v>483836.29</v>
      </c>
      <c r="L33" s="551">
        <v>490981.12</v>
      </c>
      <c r="M33" s="551">
        <v>492513.37</v>
      </c>
      <c r="N33" s="518">
        <v>491331.78</v>
      </c>
      <c r="O33" s="547">
        <v>491331.79</v>
      </c>
      <c r="P33" s="547">
        <v>492212.91</v>
      </c>
      <c r="Q33" s="518">
        <f t="shared" si="0"/>
        <v>5883629.0600000005</v>
      </c>
      <c r="R33" s="528">
        <f t="shared" si="1"/>
        <v>5883629.0600000005</v>
      </c>
    </row>
    <row r="34" spans="1:18" x14ac:dyDescent="0.25">
      <c r="A34" s="515">
        <v>30</v>
      </c>
      <c r="B34" s="516">
        <v>4002</v>
      </c>
      <c r="C34" s="515" t="s">
        <v>219</v>
      </c>
      <c r="D34" s="517">
        <v>10024246.460000001</v>
      </c>
      <c r="E34" s="549">
        <v>835353.87</v>
      </c>
      <c r="F34" s="549">
        <v>797401.21</v>
      </c>
      <c r="G34" s="549">
        <v>797401.21</v>
      </c>
      <c r="H34" s="549">
        <v>797401.21</v>
      </c>
      <c r="I34" s="549">
        <v>797401.21</v>
      </c>
      <c r="J34" s="549">
        <v>797401.21</v>
      </c>
      <c r="K34" s="550">
        <v>755455.69</v>
      </c>
      <c r="L34" s="551">
        <v>755316.58</v>
      </c>
      <c r="M34" s="551">
        <v>758397.4</v>
      </c>
      <c r="N34" s="518">
        <v>679995.13</v>
      </c>
      <c r="O34" s="547">
        <v>679995.14</v>
      </c>
      <c r="P34" s="547">
        <v>686892.89</v>
      </c>
      <c r="Q34" s="518">
        <f t="shared" si="0"/>
        <v>9138412.75</v>
      </c>
      <c r="R34" s="528">
        <f t="shared" si="1"/>
        <v>9138412.75</v>
      </c>
    </row>
    <row r="35" spans="1:18" x14ac:dyDescent="0.25">
      <c r="A35" s="515">
        <v>31</v>
      </c>
      <c r="B35" s="516">
        <v>4012</v>
      </c>
      <c r="C35" s="515" t="s">
        <v>222</v>
      </c>
      <c r="D35" s="517">
        <v>5719520.3099999996</v>
      </c>
      <c r="E35" s="549">
        <v>476626.69</v>
      </c>
      <c r="F35" s="549">
        <v>449657.87</v>
      </c>
      <c r="G35" s="549">
        <v>449657.87</v>
      </c>
      <c r="H35" s="549">
        <v>449657.87</v>
      </c>
      <c r="I35" s="549">
        <v>449657.87</v>
      </c>
      <c r="J35" s="549">
        <v>449657.87</v>
      </c>
      <c r="K35" s="550">
        <v>382604.82</v>
      </c>
      <c r="L35" s="551">
        <v>398692.25</v>
      </c>
      <c r="M35" s="551">
        <v>400413.08</v>
      </c>
      <c r="N35" s="518">
        <v>423433.32</v>
      </c>
      <c r="O35" s="547">
        <v>423433.33</v>
      </c>
      <c r="P35" s="547">
        <v>421114.89</v>
      </c>
      <c r="Q35" s="518">
        <f t="shared" si="0"/>
        <v>5174607.7300000004</v>
      </c>
      <c r="R35" s="528">
        <f t="shared" si="1"/>
        <v>5174607.7300000004</v>
      </c>
    </row>
    <row r="36" spans="1:18" x14ac:dyDescent="0.25">
      <c r="A36" s="515">
        <v>32</v>
      </c>
      <c r="B36" s="516">
        <v>4013</v>
      </c>
      <c r="C36" s="515" t="s">
        <v>224</v>
      </c>
      <c r="D36" s="517">
        <v>8603414.4500000011</v>
      </c>
      <c r="E36" s="549">
        <v>716951.2</v>
      </c>
      <c r="F36" s="549">
        <v>679815.82</v>
      </c>
      <c r="G36" s="549">
        <v>679815.82</v>
      </c>
      <c r="H36" s="549">
        <v>679815.82</v>
      </c>
      <c r="I36" s="549">
        <v>679815.82</v>
      </c>
      <c r="J36" s="549">
        <v>679815.82</v>
      </c>
      <c r="K36" s="550">
        <v>599472.32999999996</v>
      </c>
      <c r="L36" s="551">
        <v>600691.22</v>
      </c>
      <c r="M36" s="551">
        <v>603261.18000000005</v>
      </c>
      <c r="N36" s="518">
        <v>601803.25</v>
      </c>
      <c r="O36" s="547">
        <v>601803.25</v>
      </c>
      <c r="P36" s="547">
        <v>598176.55000000005</v>
      </c>
      <c r="Q36" s="518">
        <f t="shared" si="0"/>
        <v>7721238.0799999982</v>
      </c>
      <c r="R36" s="528">
        <f t="shared" si="1"/>
        <v>7721238.0799999982</v>
      </c>
    </row>
    <row r="37" spans="1:18" x14ac:dyDescent="0.25">
      <c r="A37" s="515">
        <v>33</v>
      </c>
      <c r="B37" s="516">
        <v>4020</v>
      </c>
      <c r="C37" s="515" t="s">
        <v>347</v>
      </c>
      <c r="D37" s="517">
        <v>11304241.300000001</v>
      </c>
      <c r="E37" s="549">
        <v>942020.11</v>
      </c>
      <c r="F37" s="549">
        <v>898085</v>
      </c>
      <c r="G37" s="549">
        <v>898085</v>
      </c>
      <c r="H37" s="549">
        <v>898085</v>
      </c>
      <c r="I37" s="549">
        <v>898085</v>
      </c>
      <c r="J37" s="549">
        <v>898085</v>
      </c>
      <c r="K37" s="550">
        <v>751001.65</v>
      </c>
      <c r="L37" s="551">
        <v>750382.59</v>
      </c>
      <c r="M37" s="551">
        <v>752891.2</v>
      </c>
      <c r="N37" s="518">
        <v>752095.55</v>
      </c>
      <c r="O37" s="547">
        <v>752095.56</v>
      </c>
      <c r="P37" s="547">
        <v>760672.63</v>
      </c>
      <c r="Q37" s="518">
        <f t="shared" si="0"/>
        <v>9951584.290000001</v>
      </c>
      <c r="R37" s="528">
        <f t="shared" si="1"/>
        <v>9951584.290000001</v>
      </c>
    </row>
    <row r="38" spans="1:18" x14ac:dyDescent="0.25">
      <c r="A38" s="515">
        <v>34</v>
      </c>
      <c r="B38" s="516">
        <v>4030</v>
      </c>
      <c r="C38" s="515" t="s">
        <v>335</v>
      </c>
      <c r="D38" s="517">
        <v>3022998.1300000004</v>
      </c>
      <c r="E38" s="549">
        <v>251916.51</v>
      </c>
      <c r="F38" s="549">
        <v>240977.85</v>
      </c>
      <c r="G38" s="549">
        <v>240977.85</v>
      </c>
      <c r="H38" s="549">
        <v>240977.85</v>
      </c>
      <c r="I38" s="549">
        <v>240977.85</v>
      </c>
      <c r="J38" s="549">
        <v>240977.85</v>
      </c>
      <c r="K38" s="550">
        <v>193234.7</v>
      </c>
      <c r="L38" s="551">
        <v>193200.35</v>
      </c>
      <c r="M38" s="551">
        <v>194063.21</v>
      </c>
      <c r="N38" s="518">
        <v>216573.99</v>
      </c>
      <c r="O38" s="547">
        <v>216573.99</v>
      </c>
      <c r="P38" s="547">
        <v>216047.74</v>
      </c>
      <c r="Q38" s="518">
        <f t="shared" si="0"/>
        <v>2686499.74</v>
      </c>
      <c r="R38" s="528">
        <f t="shared" si="1"/>
        <v>2686499.74</v>
      </c>
    </row>
    <row r="39" spans="1:18" x14ac:dyDescent="0.25">
      <c r="A39" s="515">
        <v>35</v>
      </c>
      <c r="B39" s="516">
        <v>4031</v>
      </c>
      <c r="C39" s="515" t="s">
        <v>352</v>
      </c>
      <c r="D39" s="517">
        <v>4010029.3000000012</v>
      </c>
      <c r="E39" s="549">
        <v>334169.11</v>
      </c>
      <c r="F39" s="549">
        <v>318794.64</v>
      </c>
      <c r="G39" s="549">
        <v>318794.64</v>
      </c>
      <c r="H39" s="549">
        <v>318794.63</v>
      </c>
      <c r="I39" s="549">
        <v>318794.64</v>
      </c>
      <c r="J39" s="549">
        <v>318794.63</v>
      </c>
      <c r="K39" s="550">
        <v>426107.95</v>
      </c>
      <c r="L39" s="551">
        <v>423255.56</v>
      </c>
      <c r="M39" s="551">
        <v>424725.61</v>
      </c>
      <c r="N39" s="518">
        <v>402275.37</v>
      </c>
      <c r="O39" s="547">
        <v>402275.37</v>
      </c>
      <c r="P39" s="547">
        <v>403426.11</v>
      </c>
      <c r="Q39" s="518">
        <f t="shared" si="0"/>
        <v>4410208.2600000007</v>
      </c>
      <c r="R39" s="528">
        <f t="shared" si="1"/>
        <v>4410208.2600000007</v>
      </c>
    </row>
    <row r="40" spans="1:18" x14ac:dyDescent="0.25">
      <c r="A40" s="515">
        <v>36</v>
      </c>
      <c r="B40" s="516">
        <v>4041</v>
      </c>
      <c r="C40" s="515" t="s">
        <v>226</v>
      </c>
      <c r="D40" s="517">
        <v>665638.30000000016</v>
      </c>
      <c r="E40" s="549">
        <v>55469.86</v>
      </c>
      <c r="F40" s="549">
        <v>52698.55</v>
      </c>
      <c r="G40" s="549">
        <v>52698.55</v>
      </c>
      <c r="H40" s="549">
        <v>52698.55</v>
      </c>
      <c r="I40" s="549">
        <v>52698.55</v>
      </c>
      <c r="J40" s="549">
        <v>52698.55</v>
      </c>
      <c r="K40" s="550">
        <v>67238.23</v>
      </c>
      <c r="L40" s="551">
        <v>65811.55</v>
      </c>
      <c r="M40" s="551">
        <v>66065.53</v>
      </c>
      <c r="N40" s="518">
        <v>65160.67</v>
      </c>
      <c r="O40" s="547">
        <v>65160.67</v>
      </c>
      <c r="P40" s="547">
        <v>65160.66</v>
      </c>
      <c r="Q40" s="518">
        <f t="shared" si="0"/>
        <v>713559.92</v>
      </c>
      <c r="R40" s="528">
        <f t="shared" si="1"/>
        <v>713559.92</v>
      </c>
    </row>
    <row r="41" spans="1:18" x14ac:dyDescent="0.25">
      <c r="A41" s="515">
        <v>37</v>
      </c>
      <c r="B41" s="516">
        <v>4050</v>
      </c>
      <c r="C41" s="515" t="s">
        <v>217</v>
      </c>
      <c r="D41" s="517">
        <v>6892583.5599999996</v>
      </c>
      <c r="E41" s="549">
        <v>574381.96</v>
      </c>
      <c r="F41" s="549">
        <v>547614.96</v>
      </c>
      <c r="G41" s="549">
        <v>547614.96</v>
      </c>
      <c r="H41" s="549">
        <v>547614.96</v>
      </c>
      <c r="I41" s="549">
        <v>547614.96</v>
      </c>
      <c r="J41" s="549">
        <v>547614.96</v>
      </c>
      <c r="K41" s="550">
        <v>529494.14</v>
      </c>
      <c r="L41" s="551">
        <v>530248.43999999994</v>
      </c>
      <c r="M41" s="551">
        <v>532384.85</v>
      </c>
      <c r="N41" s="518">
        <v>508021.03</v>
      </c>
      <c r="O41" s="547">
        <v>508021.03</v>
      </c>
      <c r="P41" s="547">
        <v>507580.04</v>
      </c>
      <c r="Q41" s="518">
        <f t="shared" si="0"/>
        <v>6428206.29</v>
      </c>
      <c r="R41" s="528">
        <f t="shared" si="1"/>
        <v>6428206.29</v>
      </c>
    </row>
    <row r="42" spans="1:18" x14ac:dyDescent="0.25">
      <c r="A42" s="515">
        <v>38</v>
      </c>
      <c r="B42" s="516">
        <v>4051</v>
      </c>
      <c r="C42" s="515" t="s">
        <v>215</v>
      </c>
      <c r="D42" s="517">
        <v>7238445.4499999983</v>
      </c>
      <c r="E42" s="549">
        <v>603203.79</v>
      </c>
      <c r="F42" s="549">
        <v>572840.06999999995</v>
      </c>
      <c r="G42" s="549">
        <v>572840.06999999995</v>
      </c>
      <c r="H42" s="549">
        <v>572840.06999999995</v>
      </c>
      <c r="I42" s="549">
        <v>572840.06999999995</v>
      </c>
      <c r="J42" s="549">
        <v>572840.06999999995</v>
      </c>
      <c r="K42" s="550">
        <v>585609.85</v>
      </c>
      <c r="L42" s="551">
        <v>586577.81999999995</v>
      </c>
      <c r="M42" s="551">
        <v>588898.30000000005</v>
      </c>
      <c r="N42" s="518">
        <v>609091.92000000004</v>
      </c>
      <c r="O42" s="547">
        <v>609091.92000000004</v>
      </c>
      <c r="P42" s="547">
        <v>612600.17000000004</v>
      </c>
      <c r="Q42" s="518">
        <f t="shared" si="0"/>
        <v>7059274.1199999992</v>
      </c>
      <c r="R42" s="528">
        <f t="shared" si="1"/>
        <v>7059274.1199999992</v>
      </c>
    </row>
    <row r="43" spans="1:18" x14ac:dyDescent="0.25">
      <c r="A43" s="515">
        <v>39</v>
      </c>
      <c r="B43" s="516">
        <v>4061</v>
      </c>
      <c r="C43" s="515" t="s">
        <v>349</v>
      </c>
      <c r="D43" s="517">
        <v>8956031.1499999985</v>
      </c>
      <c r="E43" s="549">
        <v>746335.93</v>
      </c>
      <c r="F43" s="549">
        <v>715136.15</v>
      </c>
      <c r="G43" s="549">
        <v>715136.15</v>
      </c>
      <c r="H43" s="549">
        <v>715136.15</v>
      </c>
      <c r="I43" s="549">
        <v>715136.15</v>
      </c>
      <c r="J43" s="549">
        <v>715136.14</v>
      </c>
      <c r="K43" s="550">
        <v>617792.9</v>
      </c>
      <c r="L43" s="551">
        <v>619789.93999999994</v>
      </c>
      <c r="M43" s="551">
        <v>621774.30000000005</v>
      </c>
      <c r="N43" s="518">
        <v>616024.11</v>
      </c>
      <c r="O43" s="547">
        <v>616024.12</v>
      </c>
      <c r="P43" s="547">
        <v>622892.13</v>
      </c>
      <c r="Q43" s="518">
        <f>SUM(E43:P43)</f>
        <v>8036314.1699999999</v>
      </c>
      <c r="R43" s="528">
        <f t="shared" si="1"/>
        <v>8036314.1699999999</v>
      </c>
    </row>
    <row r="44" spans="1:18" x14ac:dyDescent="0.25">
      <c r="A44" s="515">
        <v>40</v>
      </c>
      <c r="B44" s="516">
        <v>4080</v>
      </c>
      <c r="C44" s="515" t="s">
        <v>238</v>
      </c>
      <c r="D44" s="517">
        <v>2362809.7199999997</v>
      </c>
      <c r="E44" s="549">
        <v>196900.81</v>
      </c>
      <c r="F44" s="549">
        <v>187582.84</v>
      </c>
      <c r="G44" s="549">
        <v>187582.84</v>
      </c>
      <c r="H44" s="549">
        <v>187582.84</v>
      </c>
      <c r="I44" s="549">
        <v>187582.84</v>
      </c>
      <c r="J44" s="549">
        <v>187582.83</v>
      </c>
      <c r="K44" s="550">
        <v>180069.2</v>
      </c>
      <c r="L44" s="551">
        <v>183453.74</v>
      </c>
      <c r="M44" s="551">
        <v>183906.88</v>
      </c>
      <c r="N44" s="518">
        <v>187654.75</v>
      </c>
      <c r="O44" s="547">
        <v>187654.76</v>
      </c>
      <c r="P44" s="547">
        <v>187961.48</v>
      </c>
      <c r="Q44" s="518">
        <f t="shared" si="0"/>
        <v>2245515.81</v>
      </c>
      <c r="R44" s="528">
        <f t="shared" si="1"/>
        <v>2245515.81</v>
      </c>
    </row>
    <row r="45" spans="1:18" x14ac:dyDescent="0.25">
      <c r="A45" s="515">
        <v>41</v>
      </c>
      <c r="B45" s="516">
        <v>4081</v>
      </c>
      <c r="C45" s="515" t="s">
        <v>235</v>
      </c>
      <c r="D45" s="517">
        <v>1145357.4699999997</v>
      </c>
      <c r="E45" s="549">
        <v>95446.46</v>
      </c>
      <c r="F45" s="549">
        <v>89293.73</v>
      </c>
      <c r="G45" s="549">
        <v>89293.73</v>
      </c>
      <c r="H45" s="549">
        <v>89293.72</v>
      </c>
      <c r="I45" s="549">
        <v>89293.73</v>
      </c>
      <c r="J45" s="549">
        <v>89293.72</v>
      </c>
      <c r="K45" s="550">
        <v>58384.46</v>
      </c>
      <c r="L45" s="551">
        <v>59815.79</v>
      </c>
      <c r="M45" s="551">
        <v>58684.86</v>
      </c>
      <c r="N45" s="518">
        <v>77986.64</v>
      </c>
      <c r="O45" s="547">
        <v>77986.64</v>
      </c>
      <c r="P45" s="547">
        <v>76036.73</v>
      </c>
      <c r="Q45" s="518">
        <f t="shared" si="0"/>
        <v>950810.21</v>
      </c>
      <c r="R45" s="528">
        <f t="shared" si="1"/>
        <v>950810.21</v>
      </c>
    </row>
    <row r="46" spans="1:18" x14ac:dyDescent="0.25">
      <c r="A46" s="515">
        <v>42</v>
      </c>
      <c r="B46" s="516">
        <v>4090</v>
      </c>
      <c r="C46" s="515" t="s">
        <v>298</v>
      </c>
      <c r="D46" s="517">
        <v>2791893.81</v>
      </c>
      <c r="E46" s="549">
        <v>232657.82</v>
      </c>
      <c r="F46" s="549">
        <v>220481.9</v>
      </c>
      <c r="G46" s="549">
        <v>220481.9</v>
      </c>
      <c r="H46" s="549">
        <v>220481.9</v>
      </c>
      <c r="I46" s="549">
        <v>220481.9</v>
      </c>
      <c r="J46" s="549">
        <v>220481.9</v>
      </c>
      <c r="K46" s="550">
        <v>207972.21</v>
      </c>
      <c r="L46" s="551">
        <v>208044.08</v>
      </c>
      <c r="M46" s="551">
        <v>208903.2</v>
      </c>
      <c r="N46" s="518">
        <v>223420.47</v>
      </c>
      <c r="O46" s="547">
        <v>223420.47</v>
      </c>
      <c r="P46" s="547">
        <v>222055.5</v>
      </c>
      <c r="Q46" s="518">
        <f t="shared" si="0"/>
        <v>2628883.25</v>
      </c>
      <c r="R46" s="528">
        <f t="shared" si="1"/>
        <v>2628883.25</v>
      </c>
    </row>
    <row r="47" spans="1:18" x14ac:dyDescent="0.25">
      <c r="A47" s="515">
        <v>43</v>
      </c>
      <c r="B47" s="516">
        <v>4091</v>
      </c>
      <c r="C47" s="515" t="s">
        <v>276</v>
      </c>
      <c r="D47" s="517">
        <v>3611420.4500000007</v>
      </c>
      <c r="E47" s="549">
        <v>300951.7</v>
      </c>
      <c r="F47" s="549">
        <v>286572.12</v>
      </c>
      <c r="G47" s="549">
        <v>286572.12</v>
      </c>
      <c r="H47" s="549">
        <v>286572.12</v>
      </c>
      <c r="I47" s="549">
        <v>286572.12</v>
      </c>
      <c r="J47" s="549">
        <v>286572.12</v>
      </c>
      <c r="K47" s="550">
        <v>292962.49</v>
      </c>
      <c r="L47" s="551">
        <v>293833.34999999998</v>
      </c>
      <c r="M47" s="551">
        <v>294987.28000000003</v>
      </c>
      <c r="N47" s="518">
        <v>301816.63</v>
      </c>
      <c r="O47" s="547">
        <v>301816.63</v>
      </c>
      <c r="P47" s="547">
        <v>301715.03000000003</v>
      </c>
      <c r="Q47" s="518">
        <f t="shared" si="0"/>
        <v>3520943.71</v>
      </c>
      <c r="R47" s="528">
        <f t="shared" si="1"/>
        <v>3520943.71</v>
      </c>
    </row>
    <row r="48" spans="1:18" x14ac:dyDescent="0.25">
      <c r="A48" s="515">
        <v>44</v>
      </c>
      <c r="B48" s="516">
        <v>4100</v>
      </c>
      <c r="C48" s="515" t="s">
        <v>299</v>
      </c>
      <c r="D48" s="517">
        <v>3020629.1599999997</v>
      </c>
      <c r="E48" s="549">
        <v>251719.1</v>
      </c>
      <c r="F48" s="549">
        <v>242125.08</v>
      </c>
      <c r="G48" s="549">
        <v>242125.08</v>
      </c>
      <c r="H48" s="549">
        <v>242125.08</v>
      </c>
      <c r="I48" s="549">
        <v>242125.08</v>
      </c>
      <c r="J48" s="549">
        <f>242125.07+0.01</f>
        <v>242125.08000000002</v>
      </c>
      <c r="K48" s="550">
        <f>260604.43-0.01</f>
        <v>260604.41999999998</v>
      </c>
      <c r="L48" s="551">
        <v>262233.98</v>
      </c>
      <c r="M48" s="551">
        <v>263207.31</v>
      </c>
      <c r="N48" s="518">
        <v>265768.92</v>
      </c>
      <c r="O48" s="547">
        <v>265768.92</v>
      </c>
      <c r="P48" s="547">
        <v>264627.61</v>
      </c>
      <c r="Q48" s="518">
        <f t="shared" si="0"/>
        <v>3044555.6599999997</v>
      </c>
      <c r="R48" s="528">
        <f t="shared" si="1"/>
        <v>3044555.6599999997</v>
      </c>
    </row>
    <row r="49" spans="1:18" x14ac:dyDescent="0.25">
      <c r="A49" s="515">
        <v>45</v>
      </c>
      <c r="B49" s="516">
        <v>4102</v>
      </c>
      <c r="C49" s="515" t="s">
        <v>300</v>
      </c>
      <c r="D49" s="517">
        <v>1425988.3199999998</v>
      </c>
      <c r="E49" s="549">
        <v>118832.36</v>
      </c>
      <c r="F49" s="549">
        <v>113692</v>
      </c>
      <c r="G49" s="549">
        <v>113692</v>
      </c>
      <c r="H49" s="549">
        <v>113692</v>
      </c>
      <c r="I49" s="549">
        <v>113692</v>
      </c>
      <c r="J49" s="549">
        <v>74134.38</v>
      </c>
      <c r="K49" s="550">
        <v>74099.210000000006</v>
      </c>
      <c r="L49" s="551">
        <v>73911.67</v>
      </c>
      <c r="M49" s="551">
        <v>74250.960000000006</v>
      </c>
      <c r="N49" s="518">
        <v>38415.730000000003</v>
      </c>
      <c r="O49" s="547">
        <v>38415.730000000003</v>
      </c>
      <c r="P49" s="547">
        <v>37795.14</v>
      </c>
      <c r="Q49" s="518">
        <f t="shared" si="0"/>
        <v>984623.17999999993</v>
      </c>
      <c r="R49" s="528">
        <f t="shared" si="1"/>
        <v>984623.17999999993</v>
      </c>
    </row>
    <row r="50" spans="1:18" x14ac:dyDescent="0.25">
      <c r="A50" s="515">
        <v>46</v>
      </c>
      <c r="B50" s="516">
        <v>4103</v>
      </c>
      <c r="C50" s="515" t="s">
        <v>325</v>
      </c>
      <c r="D50" s="517">
        <v>8397922.7400000002</v>
      </c>
      <c r="E50" s="549">
        <v>699826.9</v>
      </c>
      <c r="F50" s="549">
        <v>665322.06000000006</v>
      </c>
      <c r="G50" s="549">
        <v>665322.06000000006</v>
      </c>
      <c r="H50" s="549">
        <v>665322.05000000005</v>
      </c>
      <c r="I50" s="549">
        <v>665322.06000000006</v>
      </c>
      <c r="J50" s="549">
        <f>665322.05+0.01</f>
        <v>665322.06000000006</v>
      </c>
      <c r="K50" s="550">
        <f>694314.41-0.01</f>
        <v>694314.4</v>
      </c>
      <c r="L50" s="551">
        <v>696055</v>
      </c>
      <c r="M50" s="551">
        <v>698770.65</v>
      </c>
      <c r="N50" s="518">
        <v>720051.84</v>
      </c>
      <c r="O50" s="547">
        <v>720051.85</v>
      </c>
      <c r="P50" s="547">
        <v>719119.16</v>
      </c>
      <c r="Q50" s="518">
        <f t="shared" si="0"/>
        <v>8274800.0900000008</v>
      </c>
      <c r="R50" s="528">
        <f t="shared" si="1"/>
        <v>8274800.0900000008</v>
      </c>
    </row>
    <row r="51" spans="1:18" x14ac:dyDescent="0.25">
      <c r="A51" s="515">
        <v>47</v>
      </c>
      <c r="B51" s="516">
        <v>4111</v>
      </c>
      <c r="C51" s="515" t="s">
        <v>342</v>
      </c>
      <c r="D51" s="517">
        <v>2560790.7400000002</v>
      </c>
      <c r="E51" s="549">
        <v>213399.23</v>
      </c>
      <c r="F51" s="549">
        <v>200600.78</v>
      </c>
      <c r="G51" s="549">
        <v>200600.78</v>
      </c>
      <c r="H51" s="549">
        <v>200600.78</v>
      </c>
      <c r="I51" s="549">
        <v>200600.78</v>
      </c>
      <c r="J51" s="549">
        <v>200600.78</v>
      </c>
      <c r="K51" s="550">
        <v>195974.03</v>
      </c>
      <c r="L51" s="551">
        <v>195581.88</v>
      </c>
      <c r="M51" s="551">
        <v>196388.93</v>
      </c>
      <c r="N51" s="518">
        <v>194202.77</v>
      </c>
      <c r="O51" s="547">
        <v>194202.78</v>
      </c>
      <c r="P51" s="547">
        <v>192624.5</v>
      </c>
      <c r="Q51" s="518">
        <f t="shared" si="0"/>
        <v>2385378.02</v>
      </c>
      <c r="R51" s="528">
        <f t="shared" si="1"/>
        <v>2385378.02</v>
      </c>
    </row>
    <row r="52" spans="1:18" x14ac:dyDescent="0.25">
      <c r="A52" s="515">
        <v>48</v>
      </c>
      <c r="B52" s="516">
        <v>4131</v>
      </c>
      <c r="C52" s="515" t="s">
        <v>376</v>
      </c>
      <c r="D52" s="517">
        <v>304314.32000000007</v>
      </c>
      <c r="E52" s="549">
        <v>25359.53</v>
      </c>
      <c r="F52" s="549">
        <v>24354.32</v>
      </c>
      <c r="G52" s="549">
        <v>24354.32</v>
      </c>
      <c r="H52" s="549">
        <v>24354.32</v>
      </c>
      <c r="I52" s="549">
        <v>24354.32</v>
      </c>
      <c r="J52" s="549">
        <v>24354.32</v>
      </c>
      <c r="K52" s="550">
        <f>66139.24+0.03</f>
        <v>66139.27</v>
      </c>
      <c r="L52" s="551">
        <v>61033.45</v>
      </c>
      <c r="M52" s="551">
        <v>61176.14</v>
      </c>
      <c r="N52" s="518">
        <v>62554.81</v>
      </c>
      <c r="O52" s="547">
        <v>62554.82</v>
      </c>
      <c r="P52" s="547">
        <v>62554.81</v>
      </c>
      <c r="Q52" s="518">
        <f t="shared" si="0"/>
        <v>523144.43000000005</v>
      </c>
      <c r="R52" s="528">
        <f t="shared" si="1"/>
        <v>523144.43000000005</v>
      </c>
    </row>
    <row r="54" spans="1:18" x14ac:dyDescent="0.25">
      <c r="D54" s="517">
        <f>SUM(D5:D53)</f>
        <v>207793505.53</v>
      </c>
      <c r="E54" s="517">
        <f>SUM(E5:E53)</f>
        <v>17559051.779999994</v>
      </c>
      <c r="F54" s="517">
        <f t="shared" ref="F54:P54" si="2">SUM(F5:F53)</f>
        <v>16728932.900000002</v>
      </c>
      <c r="G54" s="517">
        <f t="shared" si="2"/>
        <v>16734857.860000003</v>
      </c>
      <c r="H54" s="517">
        <f t="shared" si="2"/>
        <v>16734857.789999999</v>
      </c>
      <c r="I54" s="517">
        <f t="shared" si="2"/>
        <v>16734857.890000001</v>
      </c>
      <c r="J54" s="517">
        <f>SUM(J5:J53)</f>
        <v>16695300.150000002</v>
      </c>
      <c r="K54" s="529">
        <f t="shared" si="2"/>
        <v>16200179.35</v>
      </c>
      <c r="L54" s="517">
        <f t="shared" si="2"/>
        <v>16319120.09</v>
      </c>
      <c r="M54" s="517">
        <f>SUM(M5:M53)</f>
        <v>16363775.539999999</v>
      </c>
      <c r="N54" s="517">
        <f>SUM(N5:N53)</f>
        <v>16783773.719999999</v>
      </c>
      <c r="O54" s="517">
        <f t="shared" si="2"/>
        <v>16783773.899999999</v>
      </c>
      <c r="P54" s="517">
        <f t="shared" si="2"/>
        <v>16792071.980000004</v>
      </c>
      <c r="Q54" s="517">
        <f>SUM(Q5:Q53)</f>
        <v>200359658.78999999</v>
      </c>
      <c r="R54" s="517">
        <f>SUM(R5:R53)</f>
        <v>200359658.78999999</v>
      </c>
    </row>
    <row r="56" spans="1:18" x14ac:dyDescent="0.25">
      <c r="I56" s="526" t="s">
        <v>295</v>
      </c>
      <c r="J56" s="519">
        <f>'Annual Rev &amp; Fees'!L54</f>
        <v>200272060.84000009</v>
      </c>
      <c r="L56" s="520"/>
    </row>
    <row r="57" spans="1:18" x14ac:dyDescent="0.25">
      <c r="I57" s="526" t="s">
        <v>516</v>
      </c>
      <c r="J57" s="522">
        <f>J56-R54</f>
        <v>-87597.949999898672</v>
      </c>
      <c r="L57" s="520"/>
    </row>
    <row r="58" spans="1:18" x14ac:dyDescent="0.25">
      <c r="I58" s="526" t="s">
        <v>517</v>
      </c>
      <c r="J58" s="521">
        <f>J57/1</f>
        <v>-87597.949999898672</v>
      </c>
      <c r="K58" s="530"/>
      <c r="L58" s="520"/>
    </row>
    <row r="59" spans="1:18" x14ac:dyDescent="0.25">
      <c r="I59" s="526" t="s">
        <v>518</v>
      </c>
      <c r="J59" s="522">
        <f>P54</f>
        <v>16792071.980000004</v>
      </c>
      <c r="L59" s="520"/>
    </row>
    <row r="60" spans="1:18" x14ac:dyDescent="0.25">
      <c r="J60" s="521">
        <f>J58-J59</f>
        <v>-16879669.929999903</v>
      </c>
      <c r="K60" s="527" t="s">
        <v>514</v>
      </c>
      <c r="L60" s="520"/>
    </row>
    <row r="61" spans="1:18" x14ac:dyDescent="0.25">
      <c r="J61" s="520"/>
      <c r="L61" s="520"/>
    </row>
    <row r="62" spans="1:18" x14ac:dyDescent="0.25">
      <c r="D62" s="531"/>
      <c r="J62" s="520"/>
      <c r="L62" s="520"/>
    </row>
    <row r="65" spans="1:18" x14ac:dyDescent="0.25">
      <c r="C65" s="520" t="s">
        <v>521</v>
      </c>
      <c r="D65" s="519"/>
      <c r="E65" s="519"/>
      <c r="F65" s="520"/>
      <c r="G65" s="520"/>
      <c r="H65" s="520"/>
      <c r="I65" s="520"/>
      <c r="J65" s="520"/>
      <c r="L65" s="520"/>
      <c r="M65" s="520"/>
      <c r="N65" s="520"/>
      <c r="O65" s="520"/>
      <c r="P65" s="520"/>
      <c r="Q65" s="520"/>
      <c r="R65" s="532"/>
    </row>
    <row r="66" spans="1:18" x14ac:dyDescent="0.25">
      <c r="C66" s="618" t="s">
        <v>522</v>
      </c>
      <c r="D66" s="618"/>
      <c r="E66" s="618"/>
      <c r="F66" s="618"/>
      <c r="G66" s="618"/>
      <c r="H66" s="618"/>
      <c r="I66" s="618"/>
      <c r="J66" s="618"/>
      <c r="K66" s="618"/>
      <c r="L66" s="618"/>
      <c r="M66" s="618"/>
      <c r="N66" s="618"/>
      <c r="O66" s="618"/>
      <c r="P66" s="618"/>
      <c r="Q66" s="618"/>
      <c r="R66" s="618"/>
    </row>
    <row r="67" spans="1:18" x14ac:dyDescent="0.25">
      <c r="C67" s="618"/>
      <c r="D67" s="618"/>
      <c r="E67" s="618"/>
      <c r="F67" s="618"/>
      <c r="G67" s="618"/>
      <c r="H67" s="618"/>
      <c r="I67" s="618"/>
      <c r="J67" s="618"/>
      <c r="K67" s="618"/>
      <c r="L67" s="618"/>
      <c r="M67" s="618"/>
      <c r="N67" s="618"/>
      <c r="O67" s="618"/>
      <c r="P67" s="618"/>
      <c r="Q67" s="618"/>
      <c r="R67" s="618"/>
    </row>
    <row r="68" spans="1:18" x14ac:dyDescent="0.25">
      <c r="C68" s="520"/>
      <c r="D68" s="519"/>
      <c r="E68" s="519"/>
      <c r="F68" s="520"/>
      <c r="G68" s="520"/>
      <c r="H68" s="520"/>
      <c r="I68" s="520"/>
      <c r="J68" s="520"/>
      <c r="L68" s="520"/>
      <c r="M68" s="520"/>
      <c r="N68" s="520"/>
      <c r="O68" s="520"/>
      <c r="P68" s="520"/>
      <c r="Q68" s="520"/>
      <c r="R68" s="520"/>
    </row>
    <row r="69" spans="1:18" x14ac:dyDescent="0.25">
      <c r="C69" s="619" t="s">
        <v>523</v>
      </c>
      <c r="D69" s="619"/>
      <c r="E69" s="619"/>
      <c r="F69" s="619"/>
      <c r="G69" s="619"/>
      <c r="H69" s="619"/>
      <c r="I69" s="619"/>
      <c r="J69" s="619"/>
      <c r="K69" s="619"/>
      <c r="L69" s="619"/>
      <c r="M69" s="619"/>
      <c r="N69" s="619"/>
      <c r="O69" s="619"/>
      <c r="P69" s="619"/>
      <c r="Q69" s="619"/>
      <c r="R69" s="619"/>
    </row>
    <row r="70" spans="1:18" x14ac:dyDescent="0.25">
      <c r="C70" s="619"/>
      <c r="D70" s="619"/>
      <c r="E70" s="619"/>
      <c r="F70" s="619"/>
      <c r="G70" s="619"/>
      <c r="H70" s="619"/>
      <c r="I70" s="619"/>
      <c r="J70" s="619"/>
      <c r="K70" s="619"/>
      <c r="L70" s="619"/>
      <c r="M70" s="619"/>
      <c r="N70" s="619"/>
      <c r="O70" s="619"/>
      <c r="P70" s="619"/>
      <c r="Q70" s="619"/>
      <c r="R70" s="619"/>
    </row>
    <row r="73" spans="1:18" x14ac:dyDescent="0.25">
      <c r="N73" s="548" t="s">
        <v>536</v>
      </c>
    </row>
    <row r="75" spans="1:18" ht="45" x14ac:dyDescent="0.25">
      <c r="A75" s="523" t="s">
        <v>329</v>
      </c>
      <c r="B75" s="524" t="s">
        <v>329</v>
      </c>
      <c r="C75" s="523" t="s">
        <v>329</v>
      </c>
      <c r="D75" s="534" t="s">
        <v>295</v>
      </c>
      <c r="E75" s="534" t="s">
        <v>500</v>
      </c>
      <c r="F75" s="524" t="s">
        <v>501</v>
      </c>
      <c r="G75" s="524" t="s">
        <v>502</v>
      </c>
      <c r="H75" s="524" t="s">
        <v>503</v>
      </c>
      <c r="I75" s="524" t="s">
        <v>504</v>
      </c>
      <c r="J75" s="524" t="s">
        <v>505</v>
      </c>
      <c r="K75" s="535" t="s">
        <v>506</v>
      </c>
      <c r="L75" s="524" t="s">
        <v>507</v>
      </c>
      <c r="M75" s="524" t="s">
        <v>508</v>
      </c>
      <c r="N75" s="524" t="s">
        <v>509</v>
      </c>
      <c r="O75" s="524" t="s">
        <v>510</v>
      </c>
      <c r="P75" s="524" t="s">
        <v>511</v>
      </c>
      <c r="Q75" s="524" t="s">
        <v>8</v>
      </c>
      <c r="R75" s="525" t="s">
        <v>515</v>
      </c>
    </row>
    <row r="76" spans="1:18" x14ac:dyDescent="0.25">
      <c r="A76" s="515">
        <v>1</v>
      </c>
      <c r="B76" s="516" t="s">
        <v>512</v>
      </c>
      <c r="C76" s="515" t="s">
        <v>513</v>
      </c>
      <c r="E76" s="517">
        <v>70894.16</v>
      </c>
      <c r="Q76" s="518"/>
      <c r="R76" s="528"/>
    </row>
    <row r="77" spans="1:18" x14ac:dyDescent="0.25">
      <c r="A77" s="515">
        <v>2</v>
      </c>
      <c r="B77" s="516" t="s">
        <v>159</v>
      </c>
      <c r="C77" s="515" t="s">
        <v>191</v>
      </c>
      <c r="D77" s="517">
        <v>6465626.7799999993</v>
      </c>
      <c r="E77" s="549">
        <v>530592.16</v>
      </c>
      <c r="F77" s="549">
        <v>497434.56</v>
      </c>
      <c r="G77" s="549">
        <v>503359.51</v>
      </c>
      <c r="H77" s="549">
        <v>503359.51</v>
      </c>
      <c r="I77" s="549">
        <v>503359.51</v>
      </c>
      <c r="J77" s="549">
        <v>503359.51</v>
      </c>
      <c r="K77" s="550">
        <v>570693.67000000004</v>
      </c>
      <c r="L77" s="551">
        <v>575325.16</v>
      </c>
      <c r="M77" s="551">
        <v>575425.39</v>
      </c>
      <c r="N77" s="528">
        <v>543213.47</v>
      </c>
      <c r="O77" s="547">
        <v>543213.48</v>
      </c>
      <c r="P77" s="515">
        <v>533766.65</v>
      </c>
      <c r="Q77" s="518">
        <f>SUM(E77:P77)</f>
        <v>6383102.5800000001</v>
      </c>
      <c r="R77" s="528">
        <f>SUM(E77:P77)</f>
        <v>6383102.5800000001</v>
      </c>
    </row>
    <row r="78" spans="1:18" x14ac:dyDescent="0.25">
      <c r="A78" s="515">
        <v>3</v>
      </c>
      <c r="B78" s="516" t="s">
        <v>160</v>
      </c>
      <c r="C78" s="515" t="s">
        <v>193</v>
      </c>
      <c r="D78" s="517">
        <v>8800807.9299999997</v>
      </c>
      <c r="E78" s="549">
        <v>819717.67</v>
      </c>
      <c r="F78" s="549">
        <v>768922.08</v>
      </c>
      <c r="G78" s="549">
        <v>768922.08</v>
      </c>
      <c r="H78" s="549">
        <v>768922.08</v>
      </c>
      <c r="I78" s="549">
        <v>768922.08</v>
      </c>
      <c r="J78" s="549">
        <v>768922.08</v>
      </c>
      <c r="K78" s="550">
        <v>689413.31</v>
      </c>
      <c r="L78" s="551">
        <v>698338.3</v>
      </c>
      <c r="M78" s="551">
        <v>698129.59</v>
      </c>
      <c r="N78" s="528">
        <v>668343.61</v>
      </c>
      <c r="O78" s="547">
        <v>668343.62</v>
      </c>
      <c r="P78" s="515">
        <v>658040.53</v>
      </c>
      <c r="Q78" s="518">
        <f t="shared" ref="Q78:Q80" si="3">SUM(E78:P78)</f>
        <v>8744937.0300000012</v>
      </c>
      <c r="R78" s="528">
        <f t="shared" ref="R78:R123" si="4">SUM(E78:P78)</f>
        <v>8744937.0300000012</v>
      </c>
    </row>
    <row r="79" spans="1:18" x14ac:dyDescent="0.25">
      <c r="A79" s="515">
        <v>4</v>
      </c>
      <c r="B79" s="516" t="s">
        <v>161</v>
      </c>
      <c r="C79" s="515" t="s">
        <v>194</v>
      </c>
      <c r="D79" s="517">
        <v>1136086.1599999999</v>
      </c>
      <c r="E79" s="549">
        <v>93289.4</v>
      </c>
      <c r="F79" s="549">
        <v>109048.72</v>
      </c>
      <c r="G79" s="549">
        <v>109048.72</v>
      </c>
      <c r="H79" s="549">
        <v>109048.72</v>
      </c>
      <c r="I79" s="549">
        <v>109048.73</v>
      </c>
      <c r="J79" s="549">
        <f>109048.72+0.01</f>
        <v>109048.73</v>
      </c>
      <c r="K79" s="550">
        <f>82925.53-0.01</f>
        <v>82925.52</v>
      </c>
      <c r="L79" s="551">
        <v>82167.53</v>
      </c>
      <c r="M79" s="551">
        <v>82269.09</v>
      </c>
      <c r="N79" s="528">
        <v>85766.91</v>
      </c>
      <c r="O79" s="547">
        <v>85766.91</v>
      </c>
      <c r="P79" s="515">
        <v>82821.72</v>
      </c>
      <c r="Q79" s="518">
        <f t="shared" si="3"/>
        <v>1140250.7</v>
      </c>
      <c r="R79" s="528">
        <f t="shared" si="4"/>
        <v>1140250.7</v>
      </c>
    </row>
    <row r="80" spans="1:18" x14ac:dyDescent="0.25">
      <c r="A80" s="515">
        <v>5</v>
      </c>
      <c r="B80" s="516" t="s">
        <v>162</v>
      </c>
      <c r="C80" s="515" t="s">
        <v>195</v>
      </c>
      <c r="D80" s="517">
        <v>886014.05</v>
      </c>
      <c r="E80" s="549">
        <v>81895.520000000004</v>
      </c>
      <c r="F80" s="549">
        <v>78877.490000000005</v>
      </c>
      <c r="G80" s="549">
        <v>78877.490000000005</v>
      </c>
      <c r="H80" s="549">
        <v>78877.490000000005</v>
      </c>
      <c r="I80" s="549">
        <v>78877.490000000005</v>
      </c>
      <c r="J80" s="549">
        <v>78877.490000000005</v>
      </c>
      <c r="K80" s="550">
        <v>68288.509999999995</v>
      </c>
      <c r="L80" s="551">
        <v>70746.64</v>
      </c>
      <c r="M80" s="551">
        <v>70988.27</v>
      </c>
      <c r="N80" s="528">
        <v>68506.22</v>
      </c>
      <c r="O80" s="547">
        <v>68506.22</v>
      </c>
      <c r="P80" s="515">
        <v>68506.22</v>
      </c>
      <c r="Q80" s="518">
        <f t="shared" si="3"/>
        <v>891825.04999999993</v>
      </c>
      <c r="R80" s="528">
        <f t="shared" si="4"/>
        <v>891825.04999999993</v>
      </c>
    </row>
    <row r="81" spans="1:18" x14ac:dyDescent="0.25">
      <c r="A81" s="515">
        <v>6</v>
      </c>
      <c r="B81" s="516" t="s">
        <v>163</v>
      </c>
      <c r="C81" s="515" t="s">
        <v>296</v>
      </c>
      <c r="D81" s="517">
        <v>3901125.55</v>
      </c>
      <c r="E81" s="549">
        <v>412342.41</v>
      </c>
      <c r="F81" s="549">
        <v>394662.79</v>
      </c>
      <c r="G81" s="549">
        <v>394662.79</v>
      </c>
      <c r="H81" s="549">
        <v>394662.79</v>
      </c>
      <c r="I81" s="549">
        <v>394662.79</v>
      </c>
      <c r="J81" s="549">
        <v>394662.79</v>
      </c>
      <c r="K81" s="550">
        <v>252578.2</v>
      </c>
      <c r="L81" s="551">
        <v>252578.2</v>
      </c>
      <c r="M81" s="551">
        <v>253777.35</v>
      </c>
      <c r="N81" s="528">
        <v>384675.28</v>
      </c>
      <c r="O81" s="547">
        <v>384675.28</v>
      </c>
      <c r="P81" s="515">
        <v>387314.27</v>
      </c>
      <c r="Q81" s="518">
        <f>SUM(E81:P81)</f>
        <v>4301254.9400000013</v>
      </c>
      <c r="R81" s="528">
        <f t="shared" si="4"/>
        <v>4301254.9400000013</v>
      </c>
    </row>
    <row r="82" spans="1:18" x14ac:dyDescent="0.25">
      <c r="A82" s="515">
        <v>7</v>
      </c>
      <c r="B82" s="516" t="s">
        <v>164</v>
      </c>
      <c r="C82" s="515" t="s">
        <v>379</v>
      </c>
      <c r="D82" s="517">
        <v>5418424.2300000004</v>
      </c>
      <c r="E82" s="549">
        <v>451535.35</v>
      </c>
      <c r="F82" s="549">
        <v>430423.13</v>
      </c>
      <c r="G82" s="549">
        <v>430423.13</v>
      </c>
      <c r="H82" s="549">
        <v>430423.13</v>
      </c>
      <c r="I82" s="549">
        <v>430423.13</v>
      </c>
      <c r="J82" s="549">
        <v>430423.13</v>
      </c>
      <c r="K82" s="550">
        <v>427648.38</v>
      </c>
      <c r="L82" s="551">
        <v>426043.01</v>
      </c>
      <c r="M82" s="551">
        <v>426836.22</v>
      </c>
      <c r="N82" s="528">
        <v>422717.57</v>
      </c>
      <c r="O82" s="547">
        <v>422717.56</v>
      </c>
      <c r="P82" s="515">
        <v>419463.85</v>
      </c>
      <c r="Q82" s="518">
        <f t="shared" ref="Q82:Q113" si="5">SUM(E82:P82)</f>
        <v>5149077.5899999989</v>
      </c>
      <c r="R82" s="528">
        <f t="shared" si="4"/>
        <v>5149077.5899999989</v>
      </c>
    </row>
    <row r="83" spans="1:18" x14ac:dyDescent="0.25">
      <c r="A83" s="515">
        <v>8</v>
      </c>
      <c r="B83" s="516" t="s">
        <v>165</v>
      </c>
      <c r="C83" s="515" t="s">
        <v>197</v>
      </c>
      <c r="D83" s="517">
        <v>5000155.3500000006</v>
      </c>
      <c r="E83" s="549">
        <v>416679.61</v>
      </c>
      <c r="F83" s="549">
        <v>395461.3</v>
      </c>
      <c r="G83" s="549">
        <v>395461.3</v>
      </c>
      <c r="H83" s="549">
        <v>395461.3</v>
      </c>
      <c r="I83" s="549">
        <v>395461.3</v>
      </c>
      <c r="J83" s="549">
        <v>395461.3</v>
      </c>
      <c r="K83" s="550">
        <v>494960.71</v>
      </c>
      <c r="L83" s="551">
        <v>496612.89</v>
      </c>
      <c r="M83" s="551">
        <v>498381.8</v>
      </c>
      <c r="N83" s="528">
        <v>495829.93</v>
      </c>
      <c r="O83" s="547">
        <v>495829.93</v>
      </c>
      <c r="P83" s="515">
        <v>500677.95</v>
      </c>
      <c r="Q83" s="518">
        <f t="shared" si="5"/>
        <v>5376279.3199999994</v>
      </c>
      <c r="R83" s="528">
        <f t="shared" si="4"/>
        <v>5376279.3199999994</v>
      </c>
    </row>
    <row r="84" spans="1:18" x14ac:dyDescent="0.25">
      <c r="A84" s="515">
        <v>9</v>
      </c>
      <c r="B84" s="516" t="s">
        <v>166</v>
      </c>
      <c r="C84" s="515" t="s">
        <v>198</v>
      </c>
      <c r="D84" s="517">
        <v>10745865.350000001</v>
      </c>
      <c r="E84" s="549">
        <v>895488.78</v>
      </c>
      <c r="F84" s="549">
        <v>892448.71</v>
      </c>
      <c r="G84" s="549">
        <v>892448.71</v>
      </c>
      <c r="H84" s="549">
        <v>892448.71</v>
      </c>
      <c r="I84" s="549">
        <v>892448.72</v>
      </c>
      <c r="J84" s="549">
        <v>892448.71</v>
      </c>
      <c r="K84" s="550">
        <v>784923.73</v>
      </c>
      <c r="L84" s="551">
        <v>783933.27</v>
      </c>
      <c r="M84" s="551">
        <v>786962.75</v>
      </c>
      <c r="N84" s="528">
        <v>772221.93</v>
      </c>
      <c r="O84" s="547">
        <v>772221.94</v>
      </c>
      <c r="P84" s="515">
        <v>773769.41</v>
      </c>
      <c r="Q84" s="518">
        <f t="shared" si="5"/>
        <v>10031765.369999999</v>
      </c>
      <c r="R84" s="528">
        <f t="shared" si="4"/>
        <v>10031765.369999999</v>
      </c>
    </row>
    <row r="85" spans="1:18" x14ac:dyDescent="0.25">
      <c r="A85" s="515">
        <v>10</v>
      </c>
      <c r="B85" s="516" t="s">
        <v>167</v>
      </c>
      <c r="C85" s="515" t="s">
        <v>388</v>
      </c>
      <c r="D85" s="517">
        <v>4330877.9400000004</v>
      </c>
      <c r="E85" s="549">
        <v>360906.5</v>
      </c>
      <c r="F85" s="549">
        <v>350076.14</v>
      </c>
      <c r="G85" s="549">
        <v>350076.14</v>
      </c>
      <c r="H85" s="549">
        <v>350076.14</v>
      </c>
      <c r="I85" s="549">
        <v>350076.14</v>
      </c>
      <c r="J85" s="549">
        <v>350076.14</v>
      </c>
      <c r="K85" s="550">
        <v>353278.31</v>
      </c>
      <c r="L85" s="551">
        <v>353278.31</v>
      </c>
      <c r="M85" s="551">
        <v>354607.9</v>
      </c>
      <c r="N85" s="528">
        <v>525836.49</v>
      </c>
      <c r="O85" s="547">
        <v>525836.49</v>
      </c>
      <c r="P85" s="515">
        <v>525836.49</v>
      </c>
      <c r="Q85" s="518">
        <f t="shared" si="5"/>
        <v>4749961.1900000004</v>
      </c>
      <c r="R85" s="528">
        <f t="shared" si="4"/>
        <v>4749961.1900000004</v>
      </c>
    </row>
    <row r="86" spans="1:18" x14ac:dyDescent="0.25">
      <c r="A86" s="515">
        <v>11</v>
      </c>
      <c r="B86" s="516" t="s">
        <v>168</v>
      </c>
      <c r="C86" s="515" t="s">
        <v>387</v>
      </c>
      <c r="D86" s="517">
        <v>490790.34</v>
      </c>
      <c r="E86" s="549">
        <v>40899.199999999997</v>
      </c>
      <c r="F86" s="549">
        <v>59569.32</v>
      </c>
      <c r="G86" s="549">
        <v>59569.32</v>
      </c>
      <c r="H86" s="549">
        <v>59569.32</v>
      </c>
      <c r="I86" s="549">
        <v>59569.32</v>
      </c>
      <c r="J86" s="549">
        <v>59569.31</v>
      </c>
      <c r="K86" s="550">
        <v>112774.56</v>
      </c>
      <c r="L86" s="551">
        <v>114233.79</v>
      </c>
      <c r="M86" s="551">
        <v>114157.02</v>
      </c>
      <c r="N86" s="528">
        <v>111709.19</v>
      </c>
      <c r="O86" s="547">
        <v>111709.2</v>
      </c>
      <c r="P86" s="515">
        <v>112105.57</v>
      </c>
      <c r="Q86" s="518">
        <f t="shared" si="5"/>
        <v>1015435.1200000001</v>
      </c>
      <c r="R86" s="528">
        <f t="shared" si="4"/>
        <v>1015435.1200000001</v>
      </c>
    </row>
    <row r="87" spans="1:18" x14ac:dyDescent="0.25">
      <c r="A87" s="515">
        <v>12</v>
      </c>
      <c r="B87" s="516" t="s">
        <v>169</v>
      </c>
      <c r="C87" s="515" t="s">
        <v>201</v>
      </c>
      <c r="D87" s="517">
        <v>9256402.1899999995</v>
      </c>
      <c r="E87" s="549">
        <v>771366.85</v>
      </c>
      <c r="F87" s="549">
        <v>728430.29</v>
      </c>
      <c r="G87" s="549">
        <v>728430.29</v>
      </c>
      <c r="H87" s="549">
        <v>728430.29</v>
      </c>
      <c r="I87" s="549">
        <v>728430.29</v>
      </c>
      <c r="J87" s="549">
        <v>728430.29</v>
      </c>
      <c r="K87" s="550">
        <v>730234.96</v>
      </c>
      <c r="L87" s="551">
        <v>731395.38</v>
      </c>
      <c r="M87" s="551">
        <v>733936.04</v>
      </c>
      <c r="N87" s="528">
        <v>737714.3</v>
      </c>
      <c r="O87" s="547">
        <v>737714.31</v>
      </c>
      <c r="P87" s="515">
        <v>737662.44</v>
      </c>
      <c r="Q87" s="518">
        <f t="shared" si="5"/>
        <v>8822175.7300000004</v>
      </c>
      <c r="R87" s="528">
        <f t="shared" si="4"/>
        <v>8822175.7300000004</v>
      </c>
    </row>
    <row r="88" spans="1:18" x14ac:dyDescent="0.25">
      <c r="A88" s="515">
        <v>13</v>
      </c>
      <c r="B88" s="516" t="s">
        <v>170</v>
      </c>
      <c r="C88" s="515" t="s">
        <v>203</v>
      </c>
      <c r="D88" s="517">
        <v>2326171.2199999997</v>
      </c>
      <c r="E88" s="549">
        <v>193847.6</v>
      </c>
      <c r="F88" s="549">
        <v>183750.86</v>
      </c>
      <c r="G88" s="549">
        <v>183750.86</v>
      </c>
      <c r="H88" s="549">
        <v>183750.85</v>
      </c>
      <c r="I88" s="549">
        <v>183750.86</v>
      </c>
      <c r="J88" s="549">
        <v>183750.85</v>
      </c>
      <c r="K88" s="550">
        <v>169104.09</v>
      </c>
      <c r="L88" s="551">
        <v>173819.32</v>
      </c>
      <c r="M88" s="551">
        <v>173460.05</v>
      </c>
      <c r="N88" s="528">
        <v>174603.37</v>
      </c>
      <c r="O88" s="547">
        <v>174603.37</v>
      </c>
      <c r="P88" s="515">
        <v>174120.99</v>
      </c>
      <c r="Q88" s="518">
        <f t="shared" si="5"/>
        <v>2152313.0700000003</v>
      </c>
      <c r="R88" s="528">
        <f t="shared" si="4"/>
        <v>2152313.0700000003</v>
      </c>
    </row>
    <row r="89" spans="1:18" x14ac:dyDescent="0.25">
      <c r="A89" s="515">
        <v>14</v>
      </c>
      <c r="B89" s="516" t="s">
        <v>171</v>
      </c>
      <c r="C89" s="515" t="s">
        <v>205</v>
      </c>
      <c r="D89" s="517">
        <v>321142.53999999998</v>
      </c>
      <c r="E89" s="549">
        <v>26761.88</v>
      </c>
      <c r="F89" s="549">
        <v>39479.72</v>
      </c>
      <c r="G89" s="549">
        <v>39479.72</v>
      </c>
      <c r="H89" s="549">
        <v>39479.72</v>
      </c>
      <c r="I89" s="549">
        <v>39479.72</v>
      </c>
      <c r="J89" s="549">
        <v>39479.72</v>
      </c>
      <c r="K89" s="550">
        <v>22223.53</v>
      </c>
      <c r="L89" s="551">
        <v>22492.77</v>
      </c>
      <c r="M89" s="551">
        <v>22460.67</v>
      </c>
      <c r="N89" s="528">
        <v>34010.42</v>
      </c>
      <c r="O89" s="547">
        <v>34010.42</v>
      </c>
      <c r="P89" s="515">
        <v>32322.26</v>
      </c>
      <c r="Q89" s="518">
        <f t="shared" si="5"/>
        <v>391680.55</v>
      </c>
      <c r="R89" s="528">
        <f t="shared" si="4"/>
        <v>391680.55</v>
      </c>
    </row>
    <row r="90" spans="1:18" x14ac:dyDescent="0.25">
      <c r="A90" s="515">
        <v>15</v>
      </c>
      <c r="B90" s="516" t="s">
        <v>172</v>
      </c>
      <c r="C90" s="515" t="s">
        <v>206</v>
      </c>
      <c r="D90" s="517">
        <v>1775069.4699999995</v>
      </c>
      <c r="E90" s="549">
        <v>147922.46</v>
      </c>
      <c r="F90" s="549">
        <v>140413.24</v>
      </c>
      <c r="G90" s="549">
        <v>140413.24</v>
      </c>
      <c r="H90" s="549">
        <v>140413.24</v>
      </c>
      <c r="I90" s="549">
        <v>140413.24</v>
      </c>
      <c r="J90" s="549">
        <v>140413.24</v>
      </c>
      <c r="K90" s="550">
        <v>142387.44</v>
      </c>
      <c r="L90" s="551">
        <v>143516.54999999999</v>
      </c>
      <c r="M90" s="551">
        <v>143984.03</v>
      </c>
      <c r="N90" s="528">
        <v>138541.13</v>
      </c>
      <c r="O90" s="547">
        <v>138541.13</v>
      </c>
      <c r="P90" s="515">
        <v>141116.78</v>
      </c>
      <c r="Q90" s="518">
        <f t="shared" si="5"/>
        <v>1698075.72</v>
      </c>
      <c r="R90" s="528">
        <f t="shared" si="4"/>
        <v>1698075.72</v>
      </c>
    </row>
    <row r="91" spans="1:18" x14ac:dyDescent="0.25">
      <c r="A91" s="515">
        <v>16</v>
      </c>
      <c r="B91" s="516" t="s">
        <v>173</v>
      </c>
      <c r="C91" s="515" t="s">
        <v>297</v>
      </c>
      <c r="D91" s="517">
        <v>4432203.9800000004</v>
      </c>
      <c r="E91" s="549">
        <v>369350.33</v>
      </c>
      <c r="F91" s="549">
        <v>350402.76</v>
      </c>
      <c r="G91" s="549">
        <v>350402.77</v>
      </c>
      <c r="H91" s="549">
        <v>350402.76</v>
      </c>
      <c r="I91" s="549">
        <v>350402.77</v>
      </c>
      <c r="J91" s="549">
        <v>350402.76</v>
      </c>
      <c r="K91" s="550">
        <v>376373.89</v>
      </c>
      <c r="L91" s="551">
        <v>375403.27</v>
      </c>
      <c r="M91" s="551">
        <v>376760.54</v>
      </c>
      <c r="N91" s="528">
        <v>367158.99</v>
      </c>
      <c r="O91" s="547">
        <v>367159</v>
      </c>
      <c r="P91" s="515">
        <v>367495.28</v>
      </c>
      <c r="Q91" s="518">
        <f t="shared" si="5"/>
        <v>4351715.120000001</v>
      </c>
      <c r="R91" s="528">
        <f t="shared" si="4"/>
        <v>4351715.120000001</v>
      </c>
    </row>
    <row r="92" spans="1:18" x14ac:dyDescent="0.25">
      <c r="A92" s="515">
        <v>17</v>
      </c>
      <c r="B92" s="516" t="s">
        <v>174</v>
      </c>
      <c r="C92" s="515" t="s">
        <v>228</v>
      </c>
      <c r="D92" s="517">
        <v>6139041.1200000001</v>
      </c>
      <c r="E92" s="549">
        <v>511586.76</v>
      </c>
      <c r="F92" s="549">
        <v>483819.17</v>
      </c>
      <c r="G92" s="549">
        <v>483819.17</v>
      </c>
      <c r="H92" s="549">
        <v>483819.17</v>
      </c>
      <c r="I92" s="549">
        <v>483819.17</v>
      </c>
      <c r="J92" s="549">
        <v>483819.17</v>
      </c>
      <c r="K92" s="550">
        <v>415103.02</v>
      </c>
      <c r="L92" s="551">
        <v>429910.37</v>
      </c>
      <c r="M92" s="551">
        <v>430025.35</v>
      </c>
      <c r="N92" s="528">
        <v>406110.09</v>
      </c>
      <c r="O92" s="547">
        <v>406110.09</v>
      </c>
      <c r="P92" s="515">
        <v>373791.16</v>
      </c>
      <c r="Q92" s="518">
        <f t="shared" si="5"/>
        <v>5391732.6899999995</v>
      </c>
      <c r="R92" s="528">
        <f t="shared" si="4"/>
        <v>5391732.6899999995</v>
      </c>
    </row>
    <row r="93" spans="1:18" x14ac:dyDescent="0.25">
      <c r="A93" s="515">
        <v>18</v>
      </c>
      <c r="B93" s="516" t="s">
        <v>175</v>
      </c>
      <c r="C93" s="515" t="s">
        <v>196</v>
      </c>
      <c r="D93" s="517">
        <v>1129732.04</v>
      </c>
      <c r="E93" s="549">
        <v>94144.34</v>
      </c>
      <c r="F93" s="549">
        <v>87830.88</v>
      </c>
      <c r="G93" s="549">
        <v>87830.88</v>
      </c>
      <c r="H93" s="549">
        <v>87830.88</v>
      </c>
      <c r="I93" s="549">
        <v>87830.88</v>
      </c>
      <c r="J93" s="549">
        <v>87830.88</v>
      </c>
      <c r="K93" s="550">
        <v>74426.2</v>
      </c>
      <c r="L93" s="551">
        <v>75553.37</v>
      </c>
      <c r="M93" s="551">
        <v>75444.990000000005</v>
      </c>
      <c r="N93" s="528">
        <v>71143.570000000007</v>
      </c>
      <c r="O93" s="547">
        <v>71143.56</v>
      </c>
      <c r="P93" s="515">
        <v>69321.47</v>
      </c>
      <c r="Q93" s="518">
        <f t="shared" si="5"/>
        <v>970331.89999999991</v>
      </c>
      <c r="R93" s="528">
        <f t="shared" si="4"/>
        <v>970331.89999999991</v>
      </c>
    </row>
    <row r="94" spans="1:18" x14ac:dyDescent="0.25">
      <c r="A94" s="515">
        <v>19</v>
      </c>
      <c r="B94" s="516" t="s">
        <v>176</v>
      </c>
      <c r="C94" s="515" t="s">
        <v>190</v>
      </c>
      <c r="D94" s="517">
        <v>929661.03</v>
      </c>
      <c r="E94" s="549">
        <v>77471.75</v>
      </c>
      <c r="F94" s="549">
        <v>100380.53</v>
      </c>
      <c r="G94" s="549">
        <v>100380.53</v>
      </c>
      <c r="H94" s="549">
        <v>100380.53</v>
      </c>
      <c r="I94" s="549">
        <v>100380.53</v>
      </c>
      <c r="J94" s="549">
        <v>100380.53</v>
      </c>
      <c r="K94" s="550">
        <v>91347.75</v>
      </c>
      <c r="L94" s="551">
        <v>82154.64</v>
      </c>
      <c r="M94" s="551">
        <v>82068.460000000006</v>
      </c>
      <c r="N94" s="528">
        <v>93198.35</v>
      </c>
      <c r="O94" s="547">
        <v>93198.35</v>
      </c>
      <c r="P94" s="515">
        <v>87724.82</v>
      </c>
      <c r="Q94" s="518">
        <f t="shared" si="5"/>
        <v>1109066.77</v>
      </c>
      <c r="R94" s="528">
        <f t="shared" si="4"/>
        <v>1109066.77</v>
      </c>
    </row>
    <row r="95" spans="1:18" x14ac:dyDescent="0.25">
      <c r="A95" s="515">
        <v>20</v>
      </c>
      <c r="B95" s="516" t="s">
        <v>177</v>
      </c>
      <c r="C95" s="515" t="s">
        <v>207</v>
      </c>
      <c r="D95" s="517">
        <v>2853931.8799999994</v>
      </c>
      <c r="E95" s="549">
        <v>237827.66</v>
      </c>
      <c r="F95" s="549">
        <v>224112.15</v>
      </c>
      <c r="G95" s="549">
        <v>224112.15</v>
      </c>
      <c r="H95" s="549">
        <v>224112.15</v>
      </c>
      <c r="I95" s="549">
        <v>224112.15</v>
      </c>
      <c r="J95" s="549">
        <v>224112.15</v>
      </c>
      <c r="K95" s="550">
        <v>224736.36</v>
      </c>
      <c r="L95" s="551">
        <v>245661.04</v>
      </c>
      <c r="M95" s="551">
        <v>245512.17</v>
      </c>
      <c r="N95" s="528">
        <v>332948.53000000003</v>
      </c>
      <c r="O95" s="547">
        <v>332948.53999999998</v>
      </c>
      <c r="P95" s="515">
        <v>346849.74</v>
      </c>
      <c r="Q95" s="518">
        <f t="shared" si="5"/>
        <v>3087044.79</v>
      </c>
      <c r="R95" s="528">
        <f t="shared" si="4"/>
        <v>3087044.79</v>
      </c>
    </row>
    <row r="96" spans="1:18" x14ac:dyDescent="0.25">
      <c r="A96" s="515">
        <v>21</v>
      </c>
      <c r="B96" s="516" t="s">
        <v>178</v>
      </c>
      <c r="C96" s="515" t="s">
        <v>208</v>
      </c>
      <c r="D96" s="517">
        <v>3126675.4800000004</v>
      </c>
      <c r="E96" s="549">
        <v>260556.29</v>
      </c>
      <c r="F96" s="549">
        <v>245982.01</v>
      </c>
      <c r="G96" s="549">
        <v>245982.01</v>
      </c>
      <c r="H96" s="549">
        <v>245982</v>
      </c>
      <c r="I96" s="549">
        <v>245982.01</v>
      </c>
      <c r="J96" s="549">
        <v>245982</v>
      </c>
      <c r="K96" s="550">
        <v>281697.09000000003</v>
      </c>
      <c r="L96" s="551">
        <v>283058.8</v>
      </c>
      <c r="M96" s="551">
        <v>284124.53999999998</v>
      </c>
      <c r="N96" s="528">
        <v>281552.45</v>
      </c>
      <c r="O96" s="547">
        <v>281552.46000000002</v>
      </c>
      <c r="P96" s="515">
        <v>281444.09999999998</v>
      </c>
      <c r="Q96" s="518">
        <f t="shared" si="5"/>
        <v>3183895.7600000002</v>
      </c>
      <c r="R96" s="528">
        <f t="shared" si="4"/>
        <v>3183895.7600000002</v>
      </c>
    </row>
    <row r="97" spans="1:18" x14ac:dyDescent="0.25">
      <c r="A97" s="515">
        <v>22</v>
      </c>
      <c r="B97" s="516" t="s">
        <v>179</v>
      </c>
      <c r="C97" s="515" t="s">
        <v>209</v>
      </c>
      <c r="D97" s="517">
        <v>2607729.0599999996</v>
      </c>
      <c r="E97" s="549">
        <v>217310.76</v>
      </c>
      <c r="F97" s="549">
        <v>205255.16</v>
      </c>
      <c r="G97" s="549">
        <v>205255.16</v>
      </c>
      <c r="H97" s="549">
        <v>205255.16</v>
      </c>
      <c r="I97" s="549">
        <v>205255.16</v>
      </c>
      <c r="J97" s="549">
        <v>205255.15</v>
      </c>
      <c r="K97" s="550">
        <v>237417.83</v>
      </c>
      <c r="L97" s="551">
        <v>243644.19</v>
      </c>
      <c r="M97" s="551">
        <v>244115.99</v>
      </c>
      <c r="N97" s="528">
        <v>398715.22</v>
      </c>
      <c r="O97" s="547">
        <v>398715.22</v>
      </c>
      <c r="P97" s="515">
        <v>414868.11</v>
      </c>
      <c r="Q97" s="518">
        <f t="shared" si="5"/>
        <v>3181063.11</v>
      </c>
      <c r="R97" s="528">
        <f t="shared" si="4"/>
        <v>3181063.11</v>
      </c>
    </row>
    <row r="98" spans="1:18" x14ac:dyDescent="0.25">
      <c r="A98" s="515">
        <v>23</v>
      </c>
      <c r="B98" s="516" t="s">
        <v>180</v>
      </c>
      <c r="C98" s="515" t="s">
        <v>211</v>
      </c>
      <c r="D98" s="517">
        <v>8670588.2800000012</v>
      </c>
      <c r="E98" s="549">
        <v>722549.02</v>
      </c>
      <c r="F98" s="549">
        <v>688388.98</v>
      </c>
      <c r="G98" s="549">
        <v>688388.98</v>
      </c>
      <c r="H98" s="549">
        <v>688388.98</v>
      </c>
      <c r="I98" s="549">
        <v>688388.98</v>
      </c>
      <c r="J98" s="549">
        <v>688388.98</v>
      </c>
      <c r="K98" s="550">
        <v>691106.77</v>
      </c>
      <c r="L98" s="551">
        <v>689658.29</v>
      </c>
      <c r="M98" s="551">
        <v>692374.34</v>
      </c>
      <c r="N98" s="528">
        <v>667528.09</v>
      </c>
      <c r="O98" s="547">
        <v>667528.09</v>
      </c>
      <c r="P98" s="515">
        <v>669599.85</v>
      </c>
      <c r="Q98" s="518">
        <f t="shared" si="5"/>
        <v>8242289.3499999987</v>
      </c>
      <c r="R98" s="528">
        <f t="shared" si="4"/>
        <v>8242289.3499999987</v>
      </c>
    </row>
    <row r="99" spans="1:18" x14ac:dyDescent="0.25">
      <c r="A99" s="515">
        <v>24</v>
      </c>
      <c r="B99" s="516">
        <v>3441</v>
      </c>
      <c r="C99" s="515" t="s">
        <v>229</v>
      </c>
      <c r="D99" s="517">
        <v>4541105.46</v>
      </c>
      <c r="E99" s="549">
        <v>378425.46</v>
      </c>
      <c r="F99" s="549">
        <v>358334.41</v>
      </c>
      <c r="G99" s="549">
        <v>358334.41</v>
      </c>
      <c r="H99" s="549">
        <v>358334.41</v>
      </c>
      <c r="I99" s="549">
        <v>358334.41</v>
      </c>
      <c r="J99" s="549">
        <v>358334.41</v>
      </c>
      <c r="K99" s="550">
        <v>344999.34</v>
      </c>
      <c r="L99" s="551">
        <v>346239.61</v>
      </c>
      <c r="M99" s="551">
        <v>346190.82</v>
      </c>
      <c r="N99" s="528">
        <v>342327.14</v>
      </c>
      <c r="O99" s="547">
        <v>342327.14</v>
      </c>
      <c r="P99" s="515">
        <v>341769.43</v>
      </c>
      <c r="Q99" s="518">
        <f t="shared" si="5"/>
        <v>4233950.9899999993</v>
      </c>
      <c r="R99" s="528">
        <f t="shared" si="4"/>
        <v>4233950.9899999993</v>
      </c>
    </row>
    <row r="100" spans="1:18" x14ac:dyDescent="0.25">
      <c r="A100" s="515">
        <v>25</v>
      </c>
      <c r="B100" s="516">
        <v>3924</v>
      </c>
      <c r="C100" s="515" t="s">
        <v>378</v>
      </c>
      <c r="D100" s="517">
        <v>4335858.24</v>
      </c>
      <c r="E100" s="549">
        <v>361321.52</v>
      </c>
      <c r="F100" s="549">
        <v>342179.84000000003</v>
      </c>
      <c r="G100" s="549">
        <v>342179.84000000003</v>
      </c>
      <c r="H100" s="549">
        <v>342179.84000000003</v>
      </c>
      <c r="I100" s="549">
        <v>342179.85</v>
      </c>
      <c r="J100" s="549">
        <v>342179.84000000003</v>
      </c>
      <c r="K100" s="550">
        <v>287761.53000000003</v>
      </c>
      <c r="L100" s="551">
        <v>285613.34999999998</v>
      </c>
      <c r="M100" s="551">
        <v>285747.49</v>
      </c>
      <c r="N100" s="528">
        <v>280777.25</v>
      </c>
      <c r="O100" s="547">
        <v>280777.25</v>
      </c>
      <c r="P100" s="515">
        <v>276210.52</v>
      </c>
      <c r="Q100" s="518">
        <f t="shared" si="5"/>
        <v>3769108.1200000006</v>
      </c>
      <c r="R100" s="528">
        <f t="shared" si="4"/>
        <v>3769108.1200000006</v>
      </c>
    </row>
    <row r="101" spans="1:18" x14ac:dyDescent="0.25">
      <c r="A101" s="515">
        <v>26</v>
      </c>
      <c r="B101" s="516" t="s">
        <v>181</v>
      </c>
      <c r="C101" s="515" t="s">
        <v>192</v>
      </c>
      <c r="D101" s="517">
        <v>2193858</v>
      </c>
      <c r="E101" s="549">
        <v>182821.5</v>
      </c>
      <c r="F101" s="549">
        <v>173388.33</v>
      </c>
      <c r="G101" s="549">
        <v>173388.33</v>
      </c>
      <c r="H101" s="549">
        <v>173388.32</v>
      </c>
      <c r="I101" s="549">
        <v>173388.33</v>
      </c>
      <c r="J101" s="549">
        <v>173388.32</v>
      </c>
      <c r="K101" s="550">
        <v>189696.15</v>
      </c>
      <c r="L101" s="551">
        <v>190623.27</v>
      </c>
      <c r="M101" s="551">
        <v>191304.66</v>
      </c>
      <c r="N101" s="528">
        <v>178109.88</v>
      </c>
      <c r="O101" s="547">
        <v>178109.89</v>
      </c>
      <c r="P101" s="515">
        <v>179059</v>
      </c>
      <c r="Q101" s="518">
        <f t="shared" si="5"/>
        <v>2156665.98</v>
      </c>
      <c r="R101" s="528">
        <f t="shared" si="4"/>
        <v>2156665.98</v>
      </c>
    </row>
    <row r="102" spans="1:18" x14ac:dyDescent="0.25">
      <c r="A102" s="515">
        <v>27</v>
      </c>
      <c r="B102" s="516" t="s">
        <v>182</v>
      </c>
      <c r="C102" s="515" t="s">
        <v>202</v>
      </c>
      <c r="D102" s="517">
        <v>2946162.669999999</v>
      </c>
      <c r="E102" s="549">
        <v>245513.56</v>
      </c>
      <c r="F102" s="549">
        <v>233650.68</v>
      </c>
      <c r="G102" s="549">
        <v>233650.68</v>
      </c>
      <c r="H102" s="549">
        <v>233650.68</v>
      </c>
      <c r="I102" s="549">
        <v>233650.68</v>
      </c>
      <c r="J102" s="549">
        <v>233650.68</v>
      </c>
      <c r="K102" s="550">
        <v>209602.72</v>
      </c>
      <c r="L102" s="551">
        <v>209188.19</v>
      </c>
      <c r="M102" s="551">
        <v>210076.74</v>
      </c>
      <c r="N102" s="528">
        <v>206314.95</v>
      </c>
      <c r="O102" s="547">
        <v>206314.96</v>
      </c>
      <c r="P102" s="515">
        <v>208198.68</v>
      </c>
      <c r="Q102" s="518">
        <f t="shared" si="5"/>
        <v>2663463.1999999997</v>
      </c>
      <c r="R102" s="528">
        <f t="shared" si="4"/>
        <v>2663463.1999999997</v>
      </c>
    </row>
    <row r="103" spans="1:18" x14ac:dyDescent="0.25">
      <c r="A103" s="515">
        <v>28</v>
      </c>
      <c r="B103" s="516" t="s">
        <v>183</v>
      </c>
      <c r="C103" s="515" t="s">
        <v>341</v>
      </c>
      <c r="D103" s="517">
        <v>4843858.0200000005</v>
      </c>
      <c r="E103" s="549">
        <v>403654.84</v>
      </c>
      <c r="F103" s="549">
        <v>377049.44</v>
      </c>
      <c r="G103" s="549">
        <v>377049.44</v>
      </c>
      <c r="H103" s="549">
        <v>377049.44</v>
      </c>
      <c r="I103" s="549">
        <v>377049.44</v>
      </c>
      <c r="J103" s="549">
        <v>377049.44</v>
      </c>
      <c r="K103" s="550">
        <v>452107.54</v>
      </c>
      <c r="L103" s="551">
        <v>489020.22</v>
      </c>
      <c r="M103" s="551">
        <v>488989.04</v>
      </c>
      <c r="N103" s="528">
        <v>556520.71</v>
      </c>
      <c r="O103" s="547">
        <v>556520.72</v>
      </c>
      <c r="P103" s="515">
        <v>576948.01</v>
      </c>
      <c r="Q103" s="518">
        <f t="shared" si="5"/>
        <v>5409008.2799999993</v>
      </c>
      <c r="R103" s="528">
        <f t="shared" si="4"/>
        <v>5409008.2799999993</v>
      </c>
    </row>
    <row r="104" spans="1:18" x14ac:dyDescent="0.25">
      <c r="A104" s="515">
        <v>29</v>
      </c>
      <c r="B104" s="516" t="s">
        <v>184</v>
      </c>
      <c r="C104" s="515" t="s">
        <v>220</v>
      </c>
      <c r="D104" s="517">
        <v>6130266.0299999993</v>
      </c>
      <c r="E104" s="549">
        <v>510855.5</v>
      </c>
      <c r="F104" s="549">
        <v>486113.26</v>
      </c>
      <c r="G104" s="549">
        <v>486113.26</v>
      </c>
      <c r="H104" s="549">
        <v>486113.26</v>
      </c>
      <c r="I104" s="549">
        <v>486113.26</v>
      </c>
      <c r="J104" s="549">
        <v>486113.26</v>
      </c>
      <c r="K104" s="550">
        <v>483836.29</v>
      </c>
      <c r="L104" s="551">
        <v>490981.12</v>
      </c>
      <c r="M104" s="551">
        <v>492513.37</v>
      </c>
      <c r="N104" s="528">
        <v>491331.78</v>
      </c>
      <c r="O104" s="547">
        <v>491331.79</v>
      </c>
      <c r="P104" s="515">
        <v>492212.91</v>
      </c>
      <c r="Q104" s="518">
        <f t="shared" si="5"/>
        <v>5883629.0600000005</v>
      </c>
      <c r="R104" s="528">
        <f t="shared" si="4"/>
        <v>5883629.0600000005</v>
      </c>
    </row>
    <row r="105" spans="1:18" x14ac:dyDescent="0.25">
      <c r="A105" s="515">
        <v>30</v>
      </c>
      <c r="B105" s="516">
        <v>4002</v>
      </c>
      <c r="C105" s="515" t="s">
        <v>219</v>
      </c>
      <c r="D105" s="517">
        <v>10024246.460000001</v>
      </c>
      <c r="E105" s="549">
        <v>835353.87</v>
      </c>
      <c r="F105" s="549">
        <v>797401.21</v>
      </c>
      <c r="G105" s="549">
        <v>797401.21</v>
      </c>
      <c r="H105" s="549">
        <v>797401.21</v>
      </c>
      <c r="I105" s="549">
        <v>797401.21</v>
      </c>
      <c r="J105" s="549">
        <v>797401.21</v>
      </c>
      <c r="K105" s="550">
        <v>755455.69</v>
      </c>
      <c r="L105" s="551">
        <v>755316.58</v>
      </c>
      <c r="M105" s="551">
        <v>758397.4</v>
      </c>
      <c r="N105" s="528">
        <v>679995.13</v>
      </c>
      <c r="O105" s="547">
        <v>679995.14</v>
      </c>
      <c r="P105" s="515">
        <v>686892.89</v>
      </c>
      <c r="Q105" s="518">
        <f t="shared" si="5"/>
        <v>9138412.75</v>
      </c>
      <c r="R105" s="528">
        <f t="shared" si="4"/>
        <v>9138412.75</v>
      </c>
    </row>
    <row r="106" spans="1:18" x14ac:dyDescent="0.25">
      <c r="A106" s="515">
        <v>31</v>
      </c>
      <c r="B106" s="516">
        <v>4012</v>
      </c>
      <c r="C106" s="515" t="s">
        <v>222</v>
      </c>
      <c r="D106" s="517">
        <v>5719520.3099999996</v>
      </c>
      <c r="E106" s="549">
        <v>476626.69</v>
      </c>
      <c r="F106" s="549">
        <v>449657.87</v>
      </c>
      <c r="G106" s="549">
        <v>449657.87</v>
      </c>
      <c r="H106" s="549">
        <v>449657.87</v>
      </c>
      <c r="I106" s="549">
        <v>449657.87</v>
      </c>
      <c r="J106" s="549">
        <v>449657.87</v>
      </c>
      <c r="K106" s="550">
        <v>382604.82</v>
      </c>
      <c r="L106" s="551">
        <v>398692.25</v>
      </c>
      <c r="M106" s="551">
        <v>400413.08</v>
      </c>
      <c r="N106" s="528">
        <v>423433.32</v>
      </c>
      <c r="O106" s="547">
        <v>423433.33</v>
      </c>
      <c r="P106" s="515">
        <v>421114.89</v>
      </c>
      <c r="Q106" s="518">
        <f t="shared" si="5"/>
        <v>5174607.7300000004</v>
      </c>
      <c r="R106" s="528">
        <f t="shared" si="4"/>
        <v>5174607.7300000004</v>
      </c>
    </row>
    <row r="107" spans="1:18" x14ac:dyDescent="0.25">
      <c r="A107" s="515">
        <v>32</v>
      </c>
      <c r="B107" s="516">
        <v>4013</v>
      </c>
      <c r="C107" s="515" t="s">
        <v>224</v>
      </c>
      <c r="D107" s="517">
        <v>8603414.4500000011</v>
      </c>
      <c r="E107" s="549">
        <v>716951.2</v>
      </c>
      <c r="F107" s="549">
        <v>679815.82</v>
      </c>
      <c r="G107" s="549">
        <v>679815.82</v>
      </c>
      <c r="H107" s="549">
        <v>679815.82</v>
      </c>
      <c r="I107" s="549">
        <v>679815.82</v>
      </c>
      <c r="J107" s="549">
        <v>679815.82</v>
      </c>
      <c r="K107" s="550">
        <v>599472.32999999996</v>
      </c>
      <c r="L107" s="551">
        <v>600691.22</v>
      </c>
      <c r="M107" s="551">
        <v>603261.18000000005</v>
      </c>
      <c r="N107" s="528">
        <v>601803.25</v>
      </c>
      <c r="O107" s="547">
        <v>601803.25</v>
      </c>
      <c r="P107" s="515">
        <v>598176.55000000005</v>
      </c>
      <c r="Q107" s="518">
        <f t="shared" si="5"/>
        <v>7721238.0799999982</v>
      </c>
      <c r="R107" s="528">
        <f t="shared" si="4"/>
        <v>7721238.0799999982</v>
      </c>
    </row>
    <row r="108" spans="1:18" x14ac:dyDescent="0.25">
      <c r="A108" s="515">
        <v>33</v>
      </c>
      <c r="B108" s="516">
        <v>4020</v>
      </c>
      <c r="C108" s="515" t="s">
        <v>347</v>
      </c>
      <c r="D108" s="517">
        <v>11304241.300000001</v>
      </c>
      <c r="E108" s="549">
        <v>942020.11</v>
      </c>
      <c r="F108" s="549">
        <v>898085</v>
      </c>
      <c r="G108" s="549">
        <v>898085</v>
      </c>
      <c r="H108" s="549">
        <v>898085</v>
      </c>
      <c r="I108" s="549">
        <v>898085</v>
      </c>
      <c r="J108" s="549">
        <v>898085</v>
      </c>
      <c r="K108" s="550">
        <v>751001.65</v>
      </c>
      <c r="L108" s="551">
        <v>750382.59</v>
      </c>
      <c r="M108" s="551">
        <v>752891.2</v>
      </c>
      <c r="N108" s="528">
        <v>752095.55</v>
      </c>
      <c r="O108" s="547">
        <v>752095.56</v>
      </c>
      <c r="P108" s="515">
        <v>760672.63</v>
      </c>
      <c r="Q108" s="518">
        <f t="shared" si="5"/>
        <v>9951584.290000001</v>
      </c>
      <c r="R108" s="528">
        <f t="shared" si="4"/>
        <v>9951584.290000001</v>
      </c>
    </row>
    <row r="109" spans="1:18" x14ac:dyDescent="0.25">
      <c r="A109" s="515">
        <v>34</v>
      </c>
      <c r="B109" s="516">
        <v>4030</v>
      </c>
      <c r="C109" s="515" t="s">
        <v>335</v>
      </c>
      <c r="D109" s="517">
        <v>3022998.1300000004</v>
      </c>
      <c r="E109" s="549">
        <v>251916.51</v>
      </c>
      <c r="F109" s="549">
        <v>240977.85</v>
      </c>
      <c r="G109" s="549">
        <v>240977.85</v>
      </c>
      <c r="H109" s="549">
        <v>240977.85</v>
      </c>
      <c r="I109" s="549">
        <v>240977.85</v>
      </c>
      <c r="J109" s="549">
        <v>240977.85</v>
      </c>
      <c r="K109" s="550">
        <v>193234.7</v>
      </c>
      <c r="L109" s="551">
        <v>193200.35</v>
      </c>
      <c r="M109" s="551">
        <v>194063.21</v>
      </c>
      <c r="N109" s="528">
        <v>216573.99</v>
      </c>
      <c r="O109" s="547">
        <v>216573.99</v>
      </c>
      <c r="P109" s="515">
        <v>216047.74</v>
      </c>
      <c r="Q109" s="518">
        <f t="shared" si="5"/>
        <v>2686499.74</v>
      </c>
      <c r="R109" s="528">
        <f t="shared" si="4"/>
        <v>2686499.74</v>
      </c>
    </row>
    <row r="110" spans="1:18" x14ac:dyDescent="0.25">
      <c r="A110" s="515">
        <v>35</v>
      </c>
      <c r="B110" s="516">
        <v>4031</v>
      </c>
      <c r="C110" s="515" t="s">
        <v>352</v>
      </c>
      <c r="D110" s="517">
        <v>4010029.3000000012</v>
      </c>
      <c r="E110" s="549">
        <v>334169.11</v>
      </c>
      <c r="F110" s="549">
        <v>318794.64</v>
      </c>
      <c r="G110" s="549">
        <v>318794.64</v>
      </c>
      <c r="H110" s="549">
        <v>318794.63</v>
      </c>
      <c r="I110" s="549">
        <v>318794.64</v>
      </c>
      <c r="J110" s="549">
        <v>318794.63</v>
      </c>
      <c r="K110" s="550">
        <v>426107.95</v>
      </c>
      <c r="L110" s="551">
        <v>423255.56</v>
      </c>
      <c r="M110" s="551">
        <v>424725.61</v>
      </c>
      <c r="N110" s="528">
        <v>402275.37</v>
      </c>
      <c r="O110" s="547">
        <v>402275.37</v>
      </c>
      <c r="P110" s="515">
        <v>403426.11</v>
      </c>
      <c r="Q110" s="518">
        <f t="shared" si="5"/>
        <v>4410208.2600000007</v>
      </c>
      <c r="R110" s="528">
        <f t="shared" si="4"/>
        <v>4410208.2600000007</v>
      </c>
    </row>
    <row r="111" spans="1:18" x14ac:dyDescent="0.25">
      <c r="A111" s="515">
        <v>36</v>
      </c>
      <c r="B111" s="516">
        <v>4041</v>
      </c>
      <c r="C111" s="515" t="s">
        <v>226</v>
      </c>
      <c r="D111" s="517">
        <v>665638.30000000016</v>
      </c>
      <c r="E111" s="549">
        <v>55469.86</v>
      </c>
      <c r="F111" s="549">
        <v>52698.55</v>
      </c>
      <c r="G111" s="549">
        <v>52698.55</v>
      </c>
      <c r="H111" s="549">
        <v>52698.55</v>
      </c>
      <c r="I111" s="549">
        <v>52698.55</v>
      </c>
      <c r="J111" s="549">
        <v>52698.55</v>
      </c>
      <c r="K111" s="550">
        <v>67238.23</v>
      </c>
      <c r="L111" s="551">
        <v>65811.55</v>
      </c>
      <c r="M111" s="551">
        <v>66065.53</v>
      </c>
      <c r="N111" s="528">
        <v>65160.67</v>
      </c>
      <c r="O111" s="547">
        <v>65160.67</v>
      </c>
      <c r="P111" s="515">
        <v>65160.66</v>
      </c>
      <c r="Q111" s="518">
        <f t="shared" si="5"/>
        <v>713559.92</v>
      </c>
      <c r="R111" s="528">
        <f t="shared" si="4"/>
        <v>713559.92</v>
      </c>
    </row>
    <row r="112" spans="1:18" x14ac:dyDescent="0.25">
      <c r="A112" s="515">
        <v>37</v>
      </c>
      <c r="B112" s="516">
        <v>4050</v>
      </c>
      <c r="C112" s="515" t="s">
        <v>217</v>
      </c>
      <c r="D112" s="517">
        <v>6892583.5599999996</v>
      </c>
      <c r="E112" s="549">
        <v>574381.96</v>
      </c>
      <c r="F112" s="549">
        <v>547614.96</v>
      </c>
      <c r="G112" s="549">
        <v>547614.96</v>
      </c>
      <c r="H112" s="549">
        <v>547614.96</v>
      </c>
      <c r="I112" s="549">
        <v>547614.96</v>
      </c>
      <c r="J112" s="549">
        <v>547614.96</v>
      </c>
      <c r="K112" s="550">
        <v>529494.14</v>
      </c>
      <c r="L112" s="551">
        <v>530248.43999999994</v>
      </c>
      <c r="M112" s="551">
        <v>532384.85</v>
      </c>
      <c r="N112" s="528">
        <v>508021.03</v>
      </c>
      <c r="O112" s="547">
        <v>508021.03</v>
      </c>
      <c r="P112" s="515">
        <v>507580.04</v>
      </c>
      <c r="Q112" s="518">
        <f t="shared" si="5"/>
        <v>6428206.29</v>
      </c>
      <c r="R112" s="528">
        <f t="shared" si="4"/>
        <v>6428206.29</v>
      </c>
    </row>
    <row r="113" spans="1:18" x14ac:dyDescent="0.25">
      <c r="A113" s="515">
        <v>38</v>
      </c>
      <c r="B113" s="516">
        <v>4051</v>
      </c>
      <c r="C113" s="515" t="s">
        <v>215</v>
      </c>
      <c r="D113" s="517">
        <v>7238445.4499999983</v>
      </c>
      <c r="E113" s="549">
        <v>603203.79</v>
      </c>
      <c r="F113" s="549">
        <v>572840.06999999995</v>
      </c>
      <c r="G113" s="549">
        <v>572840.06999999995</v>
      </c>
      <c r="H113" s="549">
        <v>572840.06999999995</v>
      </c>
      <c r="I113" s="549">
        <v>572840.06999999995</v>
      </c>
      <c r="J113" s="549">
        <v>572840.06999999995</v>
      </c>
      <c r="K113" s="550">
        <v>585609.85</v>
      </c>
      <c r="L113" s="551">
        <v>586577.81999999995</v>
      </c>
      <c r="M113" s="551">
        <v>588898.30000000005</v>
      </c>
      <c r="N113" s="528">
        <v>609091.92000000004</v>
      </c>
      <c r="O113" s="547">
        <v>609091.92000000004</v>
      </c>
      <c r="P113" s="515">
        <v>612600.17000000004</v>
      </c>
      <c r="Q113" s="518">
        <f t="shared" si="5"/>
        <v>7059274.1199999992</v>
      </c>
      <c r="R113" s="528">
        <f t="shared" si="4"/>
        <v>7059274.1199999992</v>
      </c>
    </row>
    <row r="114" spans="1:18" x14ac:dyDescent="0.25">
      <c r="A114" s="515">
        <v>39</v>
      </c>
      <c r="B114" s="516">
        <v>4061</v>
      </c>
      <c r="C114" s="515" t="s">
        <v>349</v>
      </c>
      <c r="D114" s="517">
        <v>8956031.1499999985</v>
      </c>
      <c r="E114" s="549">
        <v>746335.93</v>
      </c>
      <c r="F114" s="549">
        <v>715136.15</v>
      </c>
      <c r="G114" s="549">
        <v>715136.15</v>
      </c>
      <c r="H114" s="549">
        <v>715136.15</v>
      </c>
      <c r="I114" s="549">
        <v>715136.15</v>
      </c>
      <c r="J114" s="549">
        <v>715136.14</v>
      </c>
      <c r="K114" s="550">
        <v>617792.9</v>
      </c>
      <c r="L114" s="551">
        <v>619789.93999999994</v>
      </c>
      <c r="M114" s="551">
        <v>621774.30000000005</v>
      </c>
      <c r="N114" s="528">
        <v>616024.11</v>
      </c>
      <c r="O114" s="547">
        <v>616024.12</v>
      </c>
      <c r="P114" s="515">
        <v>622892.13</v>
      </c>
      <c r="Q114" s="518">
        <f>SUM(E114:P114)</f>
        <v>8036314.1699999999</v>
      </c>
      <c r="R114" s="528">
        <f t="shared" si="4"/>
        <v>8036314.1699999999</v>
      </c>
    </row>
    <row r="115" spans="1:18" x14ac:dyDescent="0.25">
      <c r="A115" s="515">
        <v>40</v>
      </c>
      <c r="B115" s="516">
        <v>4080</v>
      </c>
      <c r="C115" s="515" t="s">
        <v>238</v>
      </c>
      <c r="D115" s="517">
        <v>2362809.7199999997</v>
      </c>
      <c r="E115" s="549">
        <v>196900.81</v>
      </c>
      <c r="F115" s="549">
        <v>187582.84</v>
      </c>
      <c r="G115" s="549">
        <v>187582.84</v>
      </c>
      <c r="H115" s="549">
        <v>187582.84</v>
      </c>
      <c r="I115" s="549">
        <v>187582.84</v>
      </c>
      <c r="J115" s="549">
        <v>187582.83</v>
      </c>
      <c r="K115" s="550">
        <v>180069.2</v>
      </c>
      <c r="L115" s="551">
        <v>183453.74</v>
      </c>
      <c r="M115" s="551">
        <v>183906.88</v>
      </c>
      <c r="N115" s="528">
        <v>187654.75</v>
      </c>
      <c r="O115" s="547">
        <v>187654.76</v>
      </c>
      <c r="P115" s="515">
        <v>187961.48</v>
      </c>
      <c r="Q115" s="518">
        <f t="shared" ref="Q115:Q123" si="6">SUM(E115:P115)</f>
        <v>2245515.81</v>
      </c>
      <c r="R115" s="528">
        <f t="shared" si="4"/>
        <v>2245515.81</v>
      </c>
    </row>
    <row r="116" spans="1:18" x14ac:dyDescent="0.25">
      <c r="A116" s="515">
        <v>41</v>
      </c>
      <c r="B116" s="516">
        <v>4081</v>
      </c>
      <c r="C116" s="515" t="s">
        <v>235</v>
      </c>
      <c r="D116" s="517">
        <v>1145357.4699999997</v>
      </c>
      <c r="E116" s="549">
        <v>95446.46</v>
      </c>
      <c r="F116" s="549">
        <v>89293.73</v>
      </c>
      <c r="G116" s="549">
        <v>89293.73</v>
      </c>
      <c r="H116" s="549">
        <v>89293.72</v>
      </c>
      <c r="I116" s="549">
        <v>89293.73</v>
      </c>
      <c r="J116" s="549">
        <v>89293.72</v>
      </c>
      <c r="K116" s="550">
        <v>58384.46</v>
      </c>
      <c r="L116" s="551">
        <v>59815.79</v>
      </c>
      <c r="M116" s="551">
        <v>58684.86</v>
      </c>
      <c r="N116" s="528">
        <v>77986.64</v>
      </c>
      <c r="O116" s="547">
        <v>77986.64</v>
      </c>
      <c r="P116" s="515">
        <v>76036.73</v>
      </c>
      <c r="Q116" s="518">
        <f t="shared" si="6"/>
        <v>950810.21</v>
      </c>
      <c r="R116" s="528">
        <f t="shared" si="4"/>
        <v>950810.21</v>
      </c>
    </row>
    <row r="117" spans="1:18" x14ac:dyDescent="0.25">
      <c r="A117" s="515">
        <v>42</v>
      </c>
      <c r="B117" s="516">
        <v>4090</v>
      </c>
      <c r="C117" s="515" t="s">
        <v>298</v>
      </c>
      <c r="D117" s="517">
        <v>2791893.81</v>
      </c>
      <c r="E117" s="549">
        <v>232657.82</v>
      </c>
      <c r="F117" s="549">
        <v>220481.9</v>
      </c>
      <c r="G117" s="549">
        <v>220481.9</v>
      </c>
      <c r="H117" s="549">
        <v>220481.9</v>
      </c>
      <c r="I117" s="549">
        <v>220481.9</v>
      </c>
      <c r="J117" s="549">
        <v>220481.9</v>
      </c>
      <c r="K117" s="550">
        <v>207972.21</v>
      </c>
      <c r="L117" s="551">
        <v>208044.08</v>
      </c>
      <c r="M117" s="551">
        <v>208903.2</v>
      </c>
      <c r="N117" s="528">
        <v>223420.47</v>
      </c>
      <c r="O117" s="547">
        <v>223420.47</v>
      </c>
      <c r="P117" s="515">
        <v>222055.5</v>
      </c>
      <c r="Q117" s="518">
        <f t="shared" si="6"/>
        <v>2628883.25</v>
      </c>
      <c r="R117" s="528">
        <f t="shared" si="4"/>
        <v>2628883.25</v>
      </c>
    </row>
    <row r="118" spans="1:18" x14ac:dyDescent="0.25">
      <c r="A118" s="515">
        <v>43</v>
      </c>
      <c r="B118" s="516">
        <v>4091</v>
      </c>
      <c r="C118" s="515" t="s">
        <v>276</v>
      </c>
      <c r="D118" s="517">
        <v>3611420.4500000007</v>
      </c>
      <c r="E118" s="549">
        <v>300951.7</v>
      </c>
      <c r="F118" s="549">
        <v>286572.12</v>
      </c>
      <c r="G118" s="549">
        <v>286572.12</v>
      </c>
      <c r="H118" s="549">
        <v>286572.12</v>
      </c>
      <c r="I118" s="549">
        <v>286572.12</v>
      </c>
      <c r="J118" s="549">
        <v>286572.12</v>
      </c>
      <c r="K118" s="550">
        <v>292962.49</v>
      </c>
      <c r="L118" s="551">
        <v>293833.34999999998</v>
      </c>
      <c r="M118" s="551">
        <v>294987.28000000003</v>
      </c>
      <c r="N118" s="528">
        <v>301816.63</v>
      </c>
      <c r="O118" s="547">
        <v>301816.63</v>
      </c>
      <c r="P118" s="515">
        <v>301715.03000000003</v>
      </c>
      <c r="Q118" s="518">
        <f t="shared" si="6"/>
        <v>3520943.71</v>
      </c>
      <c r="R118" s="528">
        <f t="shared" si="4"/>
        <v>3520943.71</v>
      </c>
    </row>
    <row r="119" spans="1:18" x14ac:dyDescent="0.25">
      <c r="A119" s="515">
        <v>44</v>
      </c>
      <c r="B119" s="516">
        <v>4100</v>
      </c>
      <c r="C119" s="515" t="s">
        <v>299</v>
      </c>
      <c r="D119" s="517">
        <v>3020629.1599999997</v>
      </c>
      <c r="E119" s="549">
        <v>251719.1</v>
      </c>
      <c r="F119" s="549">
        <v>242125.08</v>
      </c>
      <c r="G119" s="549">
        <v>242125.08</v>
      </c>
      <c r="H119" s="549">
        <v>242125.08</v>
      </c>
      <c r="I119" s="549">
        <v>242125.08</v>
      </c>
      <c r="J119" s="549">
        <f>242125.07+0.01</f>
        <v>242125.08000000002</v>
      </c>
      <c r="K119" s="550">
        <f>260604.43-0.01</f>
        <v>260604.41999999998</v>
      </c>
      <c r="L119" s="551">
        <v>262233.98</v>
      </c>
      <c r="M119" s="551">
        <v>263207.31</v>
      </c>
      <c r="N119" s="528">
        <v>265768.92</v>
      </c>
      <c r="O119" s="547">
        <v>265768.92</v>
      </c>
      <c r="P119" s="515">
        <v>264627.61</v>
      </c>
      <c r="Q119" s="518">
        <f t="shared" si="6"/>
        <v>3044555.6599999997</v>
      </c>
      <c r="R119" s="528">
        <f t="shared" si="4"/>
        <v>3044555.6599999997</v>
      </c>
    </row>
    <row r="120" spans="1:18" x14ac:dyDescent="0.25">
      <c r="A120" s="515">
        <v>45</v>
      </c>
      <c r="B120" s="516">
        <v>4102</v>
      </c>
      <c r="C120" s="515" t="s">
        <v>300</v>
      </c>
      <c r="D120" s="517">
        <v>1425988.3199999998</v>
      </c>
      <c r="E120" s="549">
        <v>118832.36</v>
      </c>
      <c r="F120" s="549">
        <v>113692</v>
      </c>
      <c r="G120" s="549">
        <v>113692</v>
      </c>
      <c r="H120" s="549">
        <v>113692</v>
      </c>
      <c r="I120" s="549">
        <v>113692</v>
      </c>
      <c r="J120" s="549">
        <v>74134.38</v>
      </c>
      <c r="K120" s="550">
        <v>74099.210000000006</v>
      </c>
      <c r="L120" s="551">
        <v>73911.67</v>
      </c>
      <c r="M120" s="551">
        <v>74250.960000000006</v>
      </c>
      <c r="N120" s="528">
        <v>38415.730000000003</v>
      </c>
      <c r="O120" s="547">
        <v>38415.730000000003</v>
      </c>
      <c r="P120" s="515">
        <v>37795.14</v>
      </c>
      <c r="Q120" s="518">
        <f t="shared" si="6"/>
        <v>984623.17999999993</v>
      </c>
      <c r="R120" s="528">
        <f t="shared" si="4"/>
        <v>984623.17999999993</v>
      </c>
    </row>
    <row r="121" spans="1:18" x14ac:dyDescent="0.25">
      <c r="A121" s="515">
        <v>46</v>
      </c>
      <c r="B121" s="516">
        <v>4103</v>
      </c>
      <c r="C121" s="515" t="s">
        <v>325</v>
      </c>
      <c r="D121" s="517">
        <v>8397922.7400000002</v>
      </c>
      <c r="E121" s="549">
        <v>699826.9</v>
      </c>
      <c r="F121" s="549">
        <v>665322.06000000006</v>
      </c>
      <c r="G121" s="549">
        <v>665322.06000000006</v>
      </c>
      <c r="H121" s="549">
        <v>665322.05000000005</v>
      </c>
      <c r="I121" s="549">
        <v>665322.06000000006</v>
      </c>
      <c r="J121" s="549">
        <f>665322.05+0.01</f>
        <v>665322.06000000006</v>
      </c>
      <c r="K121" s="550">
        <f>694314.41-0.01</f>
        <v>694314.4</v>
      </c>
      <c r="L121" s="551">
        <v>696055</v>
      </c>
      <c r="M121" s="551">
        <v>698770.65</v>
      </c>
      <c r="N121" s="528">
        <v>720051.84</v>
      </c>
      <c r="O121" s="547">
        <v>720051.85</v>
      </c>
      <c r="P121" s="515">
        <v>719119.16</v>
      </c>
      <c r="Q121" s="518">
        <f t="shared" si="6"/>
        <v>8274800.0900000008</v>
      </c>
      <c r="R121" s="528">
        <f t="shared" si="4"/>
        <v>8274800.0900000008</v>
      </c>
    </row>
    <row r="122" spans="1:18" x14ac:dyDescent="0.25">
      <c r="A122" s="515">
        <v>47</v>
      </c>
      <c r="B122" s="516">
        <v>4111</v>
      </c>
      <c r="C122" s="515" t="s">
        <v>342</v>
      </c>
      <c r="D122" s="517">
        <v>2560790.7400000002</v>
      </c>
      <c r="E122" s="549">
        <v>213399.23</v>
      </c>
      <c r="F122" s="549">
        <v>200600.78</v>
      </c>
      <c r="G122" s="549">
        <v>200600.78</v>
      </c>
      <c r="H122" s="549">
        <v>200600.78</v>
      </c>
      <c r="I122" s="549">
        <v>200600.78</v>
      </c>
      <c r="J122" s="549">
        <v>200600.78</v>
      </c>
      <c r="K122" s="550">
        <v>195974.03</v>
      </c>
      <c r="L122" s="551">
        <v>195581.88</v>
      </c>
      <c r="M122" s="551">
        <v>196388.93</v>
      </c>
      <c r="N122" s="528">
        <v>194202.77</v>
      </c>
      <c r="O122" s="547">
        <v>194202.78</v>
      </c>
      <c r="P122" s="515">
        <v>192624.5</v>
      </c>
      <c r="Q122" s="518">
        <f t="shared" si="6"/>
        <v>2385378.02</v>
      </c>
      <c r="R122" s="528">
        <f t="shared" si="4"/>
        <v>2385378.02</v>
      </c>
    </row>
    <row r="123" spans="1:18" x14ac:dyDescent="0.25">
      <c r="A123" s="515">
        <v>48</v>
      </c>
      <c r="B123" s="516">
        <v>4131</v>
      </c>
      <c r="C123" s="515" t="s">
        <v>376</v>
      </c>
      <c r="D123" s="517">
        <v>304314.32000000007</v>
      </c>
      <c r="E123" s="549">
        <v>25359.53</v>
      </c>
      <c r="F123" s="549">
        <v>24354.32</v>
      </c>
      <c r="G123" s="549">
        <v>24354.32</v>
      </c>
      <c r="H123" s="549">
        <v>24354.32</v>
      </c>
      <c r="I123" s="549">
        <v>24354.32</v>
      </c>
      <c r="J123" s="549">
        <v>24354.32</v>
      </c>
      <c r="K123" s="550">
        <f>66139.24+0.03</f>
        <v>66139.27</v>
      </c>
      <c r="L123" s="551">
        <v>61033.45</v>
      </c>
      <c r="M123" s="551">
        <v>61176.14</v>
      </c>
      <c r="N123" s="528">
        <v>62554.81</v>
      </c>
      <c r="O123" s="547">
        <v>62554.82</v>
      </c>
      <c r="P123" s="515">
        <v>62554.81</v>
      </c>
      <c r="Q123" s="518">
        <f t="shared" si="6"/>
        <v>523144.43000000005</v>
      </c>
      <c r="R123" s="528">
        <f t="shared" si="4"/>
        <v>523144.43000000005</v>
      </c>
    </row>
    <row r="125" spans="1:18" x14ac:dyDescent="0.25">
      <c r="D125" s="517">
        <f>SUM(D76:D124)</f>
        <v>207793505.53</v>
      </c>
      <c r="E125" s="517">
        <f>SUM(E76:E124)</f>
        <v>17559051.779999994</v>
      </c>
      <c r="F125" s="517">
        <f t="shared" ref="F125:I125" si="7">SUM(F76:F124)</f>
        <v>16728932.900000002</v>
      </c>
      <c r="G125" s="517">
        <f t="shared" si="7"/>
        <v>16734857.860000003</v>
      </c>
      <c r="H125" s="517">
        <f t="shared" si="7"/>
        <v>16734857.789999999</v>
      </c>
      <c r="I125" s="517">
        <f t="shared" si="7"/>
        <v>16734857.890000001</v>
      </c>
      <c r="J125" s="517">
        <f>SUM(J76:J124)</f>
        <v>16695300.150000002</v>
      </c>
      <c r="K125" s="529">
        <f t="shared" ref="K125:L125" si="8">SUM(K76:K124)</f>
        <v>16200179.35</v>
      </c>
      <c r="L125" s="517">
        <f t="shared" si="8"/>
        <v>16319120.09</v>
      </c>
      <c r="M125" s="517">
        <f>SUM(M76:M124)</f>
        <v>16363775.539999999</v>
      </c>
      <c r="N125" s="517">
        <f>SUM(N76:N124)</f>
        <v>16783773.719999999</v>
      </c>
      <c r="O125" s="517">
        <f t="shared" ref="O125:P125" si="9">SUM(O76:O124)</f>
        <v>16783773.899999999</v>
      </c>
      <c r="P125" s="517">
        <f t="shared" si="9"/>
        <v>16792071.980000004</v>
      </c>
      <c r="Q125" s="517">
        <f>SUM(Q76:Q124)</f>
        <v>200359658.78999999</v>
      </c>
      <c r="R125" s="517">
        <f>SUM(R76:R124)</f>
        <v>200359658.78999999</v>
      </c>
    </row>
  </sheetData>
  <mergeCells count="2">
    <mergeCell ref="C66:R67"/>
    <mergeCell ref="C69:R70"/>
  </mergeCells>
  <pageMargins left="0.7" right="0.7" top="0.75" bottom="0.75" header="0.3" footer="0.3"/>
  <pageSetup scale="48" fitToHeight="0" orientation="landscape" r:id="rId1"/>
  <ignoredErrors>
    <ignoredError sqref="Q7:Q51 Q78:Q123"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topLeftCell="A24"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323</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41"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185.09</v>
      </c>
      <c r="D16" s="143">
        <v>180.18</v>
      </c>
      <c r="E16" s="116">
        <f t="shared" si="1"/>
        <v>365.27</v>
      </c>
      <c r="F16" s="679">
        <f>'1461'!F16:G16</f>
        <v>1</v>
      </c>
      <c r="G16" s="679"/>
      <c r="H16" s="80">
        <f t="shared" si="2"/>
        <v>365.27</v>
      </c>
      <c r="I16" s="101">
        <f t="shared" si="3"/>
        <v>1960369.78</v>
      </c>
      <c r="N16" s="621" t="s">
        <v>22</v>
      </c>
      <c r="O16" s="621"/>
      <c r="P16" s="662">
        <f t="shared" si="0"/>
        <v>0</v>
      </c>
      <c r="Q16" s="662"/>
      <c r="R16" s="667">
        <v>1</v>
      </c>
      <c r="S16" s="667"/>
      <c r="T16" s="95">
        <f t="shared" si="4"/>
        <v>0</v>
      </c>
      <c r="U16" s="486">
        <f t="shared" si="5"/>
        <v>0</v>
      </c>
    </row>
    <row r="17" spans="1:21" x14ac:dyDescent="0.25">
      <c r="A17" s="596" t="s">
        <v>23</v>
      </c>
      <c r="B17" s="596"/>
      <c r="C17" s="143">
        <v>27.48</v>
      </c>
      <c r="D17" s="143">
        <v>29.01</v>
      </c>
      <c r="E17" s="116">
        <f t="shared" si="1"/>
        <v>56.49</v>
      </c>
      <c r="F17" s="679">
        <f>'1461'!F17:G17</f>
        <v>1</v>
      </c>
      <c r="G17" s="679"/>
      <c r="H17" s="80">
        <f t="shared" si="2"/>
        <v>56.49</v>
      </c>
      <c r="I17" s="101">
        <f t="shared" si="3"/>
        <v>303176.52</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170.31</v>
      </c>
      <c r="D18" s="143">
        <v>173.61</v>
      </c>
      <c r="E18" s="116">
        <f t="shared" si="1"/>
        <v>343.92</v>
      </c>
      <c r="F18" s="679">
        <f>'1461'!F18:G18</f>
        <v>0.98799999999999999</v>
      </c>
      <c r="G18" s="679"/>
      <c r="H18" s="80">
        <f t="shared" si="2"/>
        <v>339.79300000000001</v>
      </c>
      <c r="I18" s="101">
        <f t="shared" si="3"/>
        <v>1823637.11</v>
      </c>
      <c r="N18" s="621" t="s">
        <v>24</v>
      </c>
      <c r="O18" s="621"/>
      <c r="P18" s="662">
        <f t="shared" si="0"/>
        <v>0</v>
      </c>
      <c r="Q18" s="662"/>
      <c r="R18" s="667">
        <v>1</v>
      </c>
      <c r="S18" s="667"/>
      <c r="T18" s="95">
        <f t="shared" si="4"/>
        <v>0</v>
      </c>
      <c r="U18" s="486">
        <f t="shared" si="5"/>
        <v>0</v>
      </c>
    </row>
    <row r="19" spans="1:21" x14ac:dyDescent="0.25">
      <c r="A19" s="596" t="s">
        <v>25</v>
      </c>
      <c r="B19" s="596"/>
      <c r="C19" s="143">
        <v>22.77</v>
      </c>
      <c r="D19" s="143">
        <v>24</v>
      </c>
      <c r="E19" s="116">
        <f t="shared" si="1"/>
        <v>46.769999999999996</v>
      </c>
      <c r="F19" s="679">
        <f>'1461'!F19:G19</f>
        <v>0.98799999999999999</v>
      </c>
      <c r="G19" s="679"/>
      <c r="H19" s="80">
        <f t="shared" si="2"/>
        <v>46.208799999999997</v>
      </c>
      <c r="I19" s="101">
        <f t="shared" si="3"/>
        <v>247998.29</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36.799999999999997</v>
      </c>
      <c r="D27" s="143">
        <v>39.69</v>
      </c>
      <c r="E27" s="116">
        <f t="shared" si="1"/>
        <v>76.489999999999995</v>
      </c>
      <c r="F27" s="679">
        <f>'1461'!F27:G27</f>
        <v>1.208</v>
      </c>
      <c r="G27" s="679"/>
      <c r="H27" s="80">
        <f t="shared" si="2"/>
        <v>92.399900000000002</v>
      </c>
      <c r="I27" s="101">
        <f t="shared" si="3"/>
        <v>495901.58</v>
      </c>
      <c r="N27" s="621" t="s">
        <v>86</v>
      </c>
      <c r="O27" s="621"/>
      <c r="P27" s="662">
        <f t="shared" si="0"/>
        <v>0</v>
      </c>
      <c r="Q27" s="662"/>
      <c r="R27" s="667">
        <v>1</v>
      </c>
      <c r="S27" s="667"/>
      <c r="T27" s="95">
        <f t="shared" si="4"/>
        <v>0</v>
      </c>
      <c r="U27" s="486">
        <f t="shared" si="5"/>
        <v>0</v>
      </c>
    </row>
    <row r="28" spans="1:21" x14ac:dyDescent="0.25">
      <c r="A28" s="596" t="s">
        <v>87</v>
      </c>
      <c r="B28" s="596"/>
      <c r="C28" s="143">
        <v>43.38</v>
      </c>
      <c r="D28" s="143">
        <v>44.29</v>
      </c>
      <c r="E28" s="116">
        <f t="shared" si="1"/>
        <v>87.67</v>
      </c>
      <c r="F28" s="679">
        <f>'1461'!F28:G28</f>
        <v>1.208</v>
      </c>
      <c r="G28" s="679"/>
      <c r="H28" s="80">
        <f t="shared" si="2"/>
        <v>105.9054</v>
      </c>
      <c r="I28" s="101">
        <f t="shared" si="3"/>
        <v>568384.32999999996</v>
      </c>
      <c r="N28" s="621" t="s">
        <v>87</v>
      </c>
      <c r="O28" s="621"/>
      <c r="P28" s="662">
        <f t="shared" si="0"/>
        <v>0</v>
      </c>
      <c r="Q28" s="662"/>
      <c r="R28" s="667">
        <v>1</v>
      </c>
      <c r="S28" s="667"/>
      <c r="T28" s="95">
        <f t="shared" si="4"/>
        <v>0</v>
      </c>
      <c r="U28" s="486">
        <f t="shared" si="5"/>
        <v>0</v>
      </c>
    </row>
    <row r="29" spans="1:21" x14ac:dyDescent="0.25">
      <c r="A29" s="596" t="s">
        <v>88</v>
      </c>
      <c r="B29" s="596"/>
      <c r="C29" s="110">
        <v>26.34</v>
      </c>
      <c r="D29" s="110">
        <v>29.99</v>
      </c>
      <c r="E29" s="154">
        <f t="shared" si="1"/>
        <v>56.33</v>
      </c>
      <c r="F29" s="679">
        <f>'1461'!F29:G29</f>
        <v>1.0720000000000001</v>
      </c>
      <c r="G29" s="679"/>
      <c r="H29" s="93">
        <f t="shared" si="2"/>
        <v>60.385800000000003</v>
      </c>
      <c r="I29" s="94">
        <f t="shared" si="3"/>
        <v>324084.92</v>
      </c>
      <c r="N29" s="636" t="s">
        <v>88</v>
      </c>
      <c r="O29" s="636"/>
      <c r="P29" s="662">
        <f t="shared" si="0"/>
        <v>0</v>
      </c>
      <c r="Q29" s="662"/>
      <c r="R29" s="663">
        <v>1</v>
      </c>
      <c r="S29" s="663"/>
      <c r="T29" s="95">
        <f t="shared" si="4"/>
        <v>0</v>
      </c>
      <c r="U29" s="486">
        <f t="shared" si="5"/>
        <v>0</v>
      </c>
    </row>
    <row r="30" spans="1:21" x14ac:dyDescent="0.25">
      <c r="A30" s="608" t="s">
        <v>5</v>
      </c>
      <c r="B30" s="608"/>
      <c r="C30" s="94">
        <f>SUM(C14:C29)</f>
        <v>512.16999999999996</v>
      </c>
      <c r="D30" s="94">
        <f>SUM(D14:D29)</f>
        <v>520.77</v>
      </c>
      <c r="E30" s="94">
        <f>SUM(E14:E29)</f>
        <v>1032.94</v>
      </c>
      <c r="F30" s="600"/>
      <c r="G30" s="600"/>
      <c r="H30" s="99">
        <f>SUM(H14:H29)</f>
        <v>1066.4529</v>
      </c>
      <c r="I30" s="94">
        <f>SUM(I14:I29)</f>
        <v>5723552.5300000003</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42">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44">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44">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44">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44">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36">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1066.4529</v>
      </c>
      <c r="F46" s="34"/>
      <c r="G46" s="106"/>
      <c r="H46" s="107" t="s">
        <v>98</v>
      </c>
      <c r="I46" s="94">
        <f>SUM(I44,I30)</f>
        <v>5723552.5300000003</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5565335.6100000003</v>
      </c>
      <c r="G51" s="109" t="s">
        <v>6</v>
      </c>
      <c r="H51" s="415">
        <v>4.5199999999999997E-2</v>
      </c>
      <c r="I51" s="101">
        <f>ROUND(F51*H51,2)</f>
        <v>251553.17</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5565335.6100000003</v>
      </c>
      <c r="G52" s="109" t="s">
        <v>6</v>
      </c>
      <c r="H52" s="415">
        <v>1.41E-2</v>
      </c>
      <c r="I52" s="101">
        <f>ROUND(F52*H52,2)</f>
        <v>78471.23</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330024.40000000002</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24.98</v>
      </c>
      <c r="D60" s="143">
        <v>26.01</v>
      </c>
      <c r="E60" s="116">
        <f t="shared" si="10"/>
        <v>50.99</v>
      </c>
      <c r="F60" s="457" t="s">
        <v>13</v>
      </c>
      <c r="G60" s="456">
        <v>251</v>
      </c>
      <c r="H60" s="470">
        <f>'1461'!H60</f>
        <v>1173</v>
      </c>
      <c r="I60" s="101">
        <f t="shared" si="11"/>
        <v>59811.27</v>
      </c>
      <c r="N60" s="639"/>
      <c r="O60" s="639"/>
      <c r="P60" s="642"/>
      <c r="Q60" s="642"/>
      <c r="R60" s="40" t="s">
        <v>13</v>
      </c>
      <c r="S60" s="462">
        <v>251</v>
      </c>
      <c r="T60" s="473">
        <f t="shared" si="12"/>
        <v>1173</v>
      </c>
      <c r="U60" s="487">
        <f t="shared" si="13"/>
        <v>0</v>
      </c>
      <c r="V60" s="438"/>
    </row>
    <row r="61" spans="1:22" x14ac:dyDescent="0.25">
      <c r="A61" s="607"/>
      <c r="B61" s="607"/>
      <c r="C61" s="143">
        <v>2.5</v>
      </c>
      <c r="D61" s="143">
        <v>3</v>
      </c>
      <c r="E61" s="116">
        <f t="shared" si="10"/>
        <v>5.5</v>
      </c>
      <c r="F61" s="457" t="s">
        <v>13</v>
      </c>
      <c r="G61" s="456">
        <v>252</v>
      </c>
      <c r="H61" s="470">
        <f>'1461'!H61</f>
        <v>3506</v>
      </c>
      <c r="I61" s="101">
        <f t="shared" si="11"/>
        <v>19283</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19.299999999999997</v>
      </c>
      <c r="D63" s="143">
        <v>20.41</v>
      </c>
      <c r="E63" s="116">
        <f t="shared" si="10"/>
        <v>39.709999999999994</v>
      </c>
      <c r="F63" s="457" t="s">
        <v>14</v>
      </c>
      <c r="G63" s="456">
        <v>251</v>
      </c>
      <c r="H63" s="470">
        <f>'1461'!H63</f>
        <v>835</v>
      </c>
      <c r="I63" s="101">
        <f t="shared" si="11"/>
        <v>33157.85</v>
      </c>
      <c r="N63" s="639"/>
      <c r="O63" s="639"/>
      <c r="P63" s="642"/>
      <c r="Q63" s="642"/>
      <c r="R63" s="40" t="s">
        <v>14</v>
      </c>
      <c r="S63" s="462">
        <v>251</v>
      </c>
      <c r="T63" s="473">
        <f t="shared" si="12"/>
        <v>835</v>
      </c>
      <c r="U63" s="487">
        <f t="shared" si="13"/>
        <v>0</v>
      </c>
      <c r="V63" s="438"/>
    </row>
    <row r="64" spans="1:22" x14ac:dyDescent="0.25">
      <c r="A64" s="607"/>
      <c r="B64" s="607"/>
      <c r="C64" s="143">
        <v>3.47</v>
      </c>
      <c r="D64" s="143">
        <v>3.59</v>
      </c>
      <c r="E64" s="116">
        <f t="shared" si="10"/>
        <v>7.0600000000000005</v>
      </c>
      <c r="F64" s="457" t="s">
        <v>14</v>
      </c>
      <c r="G64" s="456">
        <v>252</v>
      </c>
      <c r="H64" s="470">
        <f>'1461'!H64</f>
        <v>3168</v>
      </c>
      <c r="I64" s="101">
        <f t="shared" si="11"/>
        <v>22366.080000000002</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50.25</v>
      </c>
      <c r="D66" s="97">
        <f>SUM(D57:D65)</f>
        <v>53.010000000000005</v>
      </c>
      <c r="E66" s="97">
        <f>SUM(E57:E65)</f>
        <v>103.25999999999999</v>
      </c>
      <c r="F66" s="608" t="s">
        <v>471</v>
      </c>
      <c r="G66" s="608"/>
      <c r="H66" s="608"/>
      <c r="I66" s="97">
        <f>SUM(I57:I65)</f>
        <v>134618.20000000001</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1032.94</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5.0959999999999998E-3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1066.4529</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4.6759999999999996E-3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1032.94</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5.5319999999999996E-3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1032.94</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5.1050000000000002E-3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1032.94</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5.5420000000000001E-3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5.1050000000000002E-3</v>
      </c>
      <c r="I85" s="101">
        <f>ROUND(F85*H85,2)</f>
        <v>227186.01</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53"/>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5.0959999999999998E-3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5.5420000000000001E-3</v>
      </c>
      <c r="I90" s="101">
        <f>ROUND(F90*H90,2)</f>
        <v>90385.41</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5.5319999999999996E-3</v>
      </c>
      <c r="I92" s="101">
        <f t="shared" ref="I92:I96" si="14">ROUND(F92*H92,2)</f>
        <v>56142.35</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4.6759999999999996E-3</v>
      </c>
      <c r="I94" s="101">
        <f t="shared" si="14"/>
        <v>1117553.1200000001</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4.6759999999999996E-3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5.0959999999999998E-3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514.15989999999999</v>
      </c>
      <c r="D105" s="614"/>
      <c r="E105" s="46">
        <f>H8</f>
        <v>1.0442</v>
      </c>
      <c r="F105" s="302">
        <f>'1461'!F105</f>
        <v>904.74</v>
      </c>
      <c r="G105" s="39" t="s">
        <v>12</v>
      </c>
      <c r="H105" s="101">
        <f>ROUND(C105*E105*F105,2)</f>
        <v>485742.03</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552.29300000000001</v>
      </c>
      <c r="D106" s="614"/>
      <c r="E106" s="46">
        <f>H8</f>
        <v>1.0442</v>
      </c>
      <c r="F106" s="302">
        <f>'1461'!F106</f>
        <v>906.93</v>
      </c>
      <c r="G106" s="39" t="s">
        <v>12</v>
      </c>
      <c r="H106" s="94">
        <f>ROUND(C106*E106*F106,2)</f>
        <v>523030.48</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1066.4529</v>
      </c>
      <c r="D107" s="604"/>
      <c r="E107" s="123"/>
      <c r="F107" s="123"/>
      <c r="G107" s="123"/>
      <c r="H107" s="124" t="s">
        <v>100</v>
      </c>
      <c r="I107" s="101">
        <f>IF(A1=75,0,H106+H105+H104)</f>
        <v>1008772.51</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41"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7</v>
      </c>
      <c r="D113" s="143">
        <v>1</v>
      </c>
      <c r="E113" s="144">
        <f>(C113+D113)/2</f>
        <v>4</v>
      </c>
      <c r="F113" s="126" t="s">
        <v>30</v>
      </c>
      <c r="G113" s="303">
        <f>'1461'!G113</f>
        <v>536</v>
      </c>
      <c r="I113" s="101">
        <f>ROUND(G113*E113,2)</f>
        <v>2144</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44">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42">
        <f>IF(D30=0,C121*2,C121+D121)</f>
        <v>0</v>
      </c>
      <c r="F121" s="696">
        <v>0</v>
      </c>
      <c r="G121" s="696"/>
      <c r="H121" s="61">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44">
        <f>IF(D31=0,C122*2,C122+D122)</f>
        <v>0</v>
      </c>
      <c r="F122" s="616">
        <f>ROUND(F121/2,2)</f>
        <v>0</v>
      </c>
      <c r="G122" s="616"/>
      <c r="H122" s="61">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44">
        <f>IF(D32=0,C123*2,C123+D123)</f>
        <v>0</v>
      </c>
      <c r="F123" s="617"/>
      <c r="G123" s="617"/>
      <c r="H123" s="63">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8360354.1299999999</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8030329.7299999995</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8030329.7299999995</v>
      </c>
      <c r="I135" s="94">
        <f>ROUND(IF(E30=0,0,IF(E30&gt;250,-(((250/E30)*H135)*IF(G135="H",0.02,0.05)),IF(G135="H",-0.02*H135,-0.05*H135))),2)</f>
        <v>-97178.08</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8263176.0499999998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Payments'!Q121</f>
        <v>-8274800.0900000008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-11624.040000000969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-11624.04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304338.40999999997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topLeftCell="A19"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333</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41"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104.44</v>
      </c>
      <c r="D18" s="143">
        <v>107.24</v>
      </c>
      <c r="E18" s="116">
        <f t="shared" si="1"/>
        <v>211.68</v>
      </c>
      <c r="F18" s="679">
        <f>'1461'!F18:G18</f>
        <v>0.98799999999999999</v>
      </c>
      <c r="G18" s="679"/>
      <c r="H18" s="80">
        <f t="shared" si="2"/>
        <v>209.13980000000001</v>
      </c>
      <c r="I18" s="101">
        <f t="shared" si="3"/>
        <v>1122433.6599999999</v>
      </c>
      <c r="N18" s="621" t="s">
        <v>24</v>
      </c>
      <c r="O18" s="621"/>
      <c r="P18" s="662">
        <f t="shared" si="0"/>
        <v>0</v>
      </c>
      <c r="Q18" s="662"/>
      <c r="R18" s="667">
        <v>1</v>
      </c>
      <c r="S18" s="667"/>
      <c r="T18" s="95">
        <f t="shared" si="4"/>
        <v>0</v>
      </c>
      <c r="U18" s="486">
        <f t="shared" si="5"/>
        <v>0</v>
      </c>
    </row>
    <row r="19" spans="1:21" x14ac:dyDescent="0.25">
      <c r="A19" s="596" t="s">
        <v>25</v>
      </c>
      <c r="B19" s="596"/>
      <c r="C19" s="143">
        <v>23.12</v>
      </c>
      <c r="D19" s="143">
        <v>21.83</v>
      </c>
      <c r="E19" s="116">
        <f t="shared" si="1"/>
        <v>44.95</v>
      </c>
      <c r="F19" s="679">
        <f>'1461'!F19:G19</f>
        <v>0.98799999999999999</v>
      </c>
      <c r="G19" s="679"/>
      <c r="H19" s="80">
        <f t="shared" si="2"/>
        <v>44.410600000000002</v>
      </c>
      <c r="I19" s="101">
        <f t="shared" si="3"/>
        <v>238347.51999999999</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19.760000000000002</v>
      </c>
      <c r="D28" s="143">
        <v>18.899999999999999</v>
      </c>
      <c r="E28" s="116">
        <f t="shared" si="1"/>
        <v>38.659999999999997</v>
      </c>
      <c r="F28" s="679">
        <f>'1461'!F28:G28</f>
        <v>1.208</v>
      </c>
      <c r="G28" s="679"/>
      <c r="H28" s="80">
        <f t="shared" si="2"/>
        <v>46.701300000000003</v>
      </c>
      <c r="I28" s="101">
        <f t="shared" si="3"/>
        <v>250641.49</v>
      </c>
      <c r="N28" s="621" t="s">
        <v>87</v>
      </c>
      <c r="O28" s="621"/>
      <c r="P28" s="662">
        <f t="shared" si="0"/>
        <v>0</v>
      </c>
      <c r="Q28" s="662"/>
      <c r="R28" s="667">
        <v>1</v>
      </c>
      <c r="S28" s="667"/>
      <c r="T28" s="95">
        <f t="shared" si="4"/>
        <v>0</v>
      </c>
      <c r="U28" s="486">
        <f t="shared" si="5"/>
        <v>0</v>
      </c>
    </row>
    <row r="29" spans="1:21" x14ac:dyDescent="0.25">
      <c r="A29" s="596" t="s">
        <v>88</v>
      </c>
      <c r="B29" s="596"/>
      <c r="C29" s="110">
        <v>7.13</v>
      </c>
      <c r="D29" s="110">
        <v>6.89</v>
      </c>
      <c r="E29" s="116">
        <f t="shared" si="1"/>
        <v>14.02</v>
      </c>
      <c r="F29" s="679">
        <f>'1461'!F29:G29</f>
        <v>1.0720000000000001</v>
      </c>
      <c r="G29" s="679"/>
      <c r="H29" s="93">
        <f t="shared" si="2"/>
        <v>15.029400000000001</v>
      </c>
      <c r="I29" s="94">
        <f t="shared" si="3"/>
        <v>80661.38</v>
      </c>
      <c r="N29" s="636" t="s">
        <v>88</v>
      </c>
      <c r="O29" s="636"/>
      <c r="P29" s="662">
        <f t="shared" si="0"/>
        <v>0</v>
      </c>
      <c r="Q29" s="662"/>
      <c r="R29" s="663">
        <v>1</v>
      </c>
      <c r="S29" s="663"/>
      <c r="T29" s="95">
        <f t="shared" si="4"/>
        <v>0</v>
      </c>
      <c r="U29" s="486">
        <f t="shared" si="5"/>
        <v>0</v>
      </c>
    </row>
    <row r="30" spans="1:21" x14ac:dyDescent="0.25">
      <c r="A30" s="608" t="s">
        <v>5</v>
      </c>
      <c r="B30" s="608"/>
      <c r="C30" s="94">
        <f>SUM(C14:C29)</f>
        <v>154.44999999999999</v>
      </c>
      <c r="D30" s="94">
        <f>SUM(D14:D29)</f>
        <v>154.85999999999999</v>
      </c>
      <c r="E30" s="97">
        <f>SUM(E14:E29)</f>
        <v>309.30999999999995</v>
      </c>
      <c r="F30" s="600"/>
      <c r="G30" s="600"/>
      <c r="H30" s="99">
        <f>SUM(H14:H29)</f>
        <v>315.28110000000004</v>
      </c>
      <c r="I30" s="94">
        <f>SUM(I14:I29)</f>
        <v>1692084.0499999998</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42">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44">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44">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44">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44">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36">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315.28110000000004</v>
      </c>
      <c r="F46" s="34"/>
      <c r="G46" s="106"/>
      <c r="H46" s="107" t="s">
        <v>98</v>
      </c>
      <c r="I46" s="94">
        <f>SUM(I44,I30)</f>
        <v>1692084.0499999998</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1719410.72</v>
      </c>
      <c r="G51" s="109" t="s">
        <v>6</v>
      </c>
      <c r="H51" s="415">
        <v>4.5199999999999997E-2</v>
      </c>
      <c r="I51" s="101">
        <f>ROUND(F51*H51,2)</f>
        <v>77717.36</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1719410.72</v>
      </c>
      <c r="G52" s="109" t="s">
        <v>6</v>
      </c>
      <c r="H52" s="415">
        <v>1.41E-2</v>
      </c>
      <c r="I52" s="101">
        <f>ROUND(F52*H52,2)</f>
        <v>24243.69</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101961.05</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22.62</v>
      </c>
      <c r="D63" s="143">
        <v>21.83</v>
      </c>
      <c r="E63" s="116">
        <f t="shared" si="10"/>
        <v>44.45</v>
      </c>
      <c r="F63" s="457" t="s">
        <v>14</v>
      </c>
      <c r="G63" s="456">
        <v>251</v>
      </c>
      <c r="H63" s="470">
        <f>'1461'!H63</f>
        <v>835</v>
      </c>
      <c r="I63" s="101">
        <f t="shared" si="11"/>
        <v>37115.75</v>
      </c>
      <c r="N63" s="639"/>
      <c r="O63" s="639"/>
      <c r="P63" s="642"/>
      <c r="Q63" s="642"/>
      <c r="R63" s="40" t="s">
        <v>14</v>
      </c>
      <c r="S63" s="462">
        <v>251</v>
      </c>
      <c r="T63" s="473">
        <f t="shared" si="12"/>
        <v>835</v>
      </c>
      <c r="U63" s="487">
        <f t="shared" si="13"/>
        <v>0</v>
      </c>
      <c r="V63" s="438"/>
    </row>
    <row r="64" spans="1:22" x14ac:dyDescent="0.25">
      <c r="A64" s="607"/>
      <c r="B64" s="607"/>
      <c r="C64" s="143">
        <v>0.5</v>
      </c>
      <c r="D64" s="143">
        <v>0</v>
      </c>
      <c r="E64" s="116">
        <f t="shared" si="10"/>
        <v>0.5</v>
      </c>
      <c r="F64" s="457" t="s">
        <v>14</v>
      </c>
      <c r="G64" s="456">
        <v>252</v>
      </c>
      <c r="H64" s="470">
        <f>'1461'!H64</f>
        <v>3168</v>
      </c>
      <c r="I64" s="101">
        <f t="shared" si="11"/>
        <v>1584</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23.12</v>
      </c>
      <c r="D66" s="97">
        <f>SUM(D57:D65)</f>
        <v>21.83</v>
      </c>
      <c r="E66" s="97">
        <f>SUM(E57:E65)</f>
        <v>44.95</v>
      </c>
      <c r="F66" s="608" t="s">
        <v>471</v>
      </c>
      <c r="G66" s="608"/>
      <c r="H66" s="608"/>
      <c r="I66" s="97">
        <f>SUM(I57:I65)</f>
        <v>38699.75</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309.30999999999995</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1.526E-3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315.28110000000004</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1.382E-3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309.30999999999995</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1.6570000000000001E-3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309.30999999999995</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1.529E-3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309.30999999999995</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1.66E-3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1.529E-3</v>
      </c>
      <c r="I85" s="101">
        <f>ROUND(F85*H85,2)</f>
        <v>68044.55</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53"/>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1.526E-3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1.66E-3</v>
      </c>
      <c r="I90" s="101">
        <f>ROUND(F90*H90,2)</f>
        <v>27073.22</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1.6570000000000001E-3</v>
      </c>
      <c r="I92" s="101">
        <f t="shared" ref="I92:I96" si="14">ROUND(F92*H92,2)</f>
        <v>16816.32</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1.382E-3</v>
      </c>
      <c r="I94" s="101">
        <f t="shared" si="14"/>
        <v>330294.78999999998</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1.382E-3</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1.526E-3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315.28110000000004</v>
      </c>
      <c r="D106" s="614"/>
      <c r="E106" s="46">
        <f>H8</f>
        <v>1.0442</v>
      </c>
      <c r="F106" s="302">
        <f>'1461'!F106</f>
        <v>906.93</v>
      </c>
      <c r="G106" s="39" t="s">
        <v>12</v>
      </c>
      <c r="H106" s="94">
        <f>ROUND(C106*E106*F106,2)</f>
        <v>298576.34000000003</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315.28110000000004</v>
      </c>
      <c r="D107" s="604"/>
      <c r="E107" s="123"/>
      <c r="F107" s="123"/>
      <c r="G107" s="123"/>
      <c r="H107" s="124" t="s">
        <v>100</v>
      </c>
      <c r="I107" s="101">
        <f>IF(A1=75,0,H106+H105+H104)</f>
        <v>298576.34000000003</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41"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2</v>
      </c>
      <c r="D113" s="143">
        <v>0</v>
      </c>
      <c r="E113" s="144">
        <f>(C113+D113)/2</f>
        <v>1</v>
      </c>
      <c r="F113" s="126" t="s">
        <v>30</v>
      </c>
      <c r="G113" s="303">
        <f>'1461'!G113</f>
        <v>536</v>
      </c>
      <c r="I113" s="101">
        <f>ROUND(G113*E113,2)</f>
        <v>536</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44">
        <f>C114</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42">
        <f>IF(D30=0,C121*2,C121+D121)</f>
        <v>0</v>
      </c>
      <c r="F121" s="696">
        <v>0</v>
      </c>
      <c r="G121" s="696"/>
      <c r="H121" s="61">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44">
        <f>IF(D31=0,C122*2,C122+D122)</f>
        <v>0</v>
      </c>
      <c r="F122" s="616">
        <f>ROUND(F121/2,2)</f>
        <v>0</v>
      </c>
      <c r="G122" s="616"/>
      <c r="H122" s="61">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44">
        <f>IF(D32=0,C123*2,C123+D123)</f>
        <v>0</v>
      </c>
      <c r="F123" s="617"/>
      <c r="G123" s="617"/>
      <c r="H123" s="63">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2472125.0199999996</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2370163.9699999997</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2370163.9699999997</v>
      </c>
      <c r="I135" s="94">
        <f>ROUND(IF(E30=0,0,IF(E30&gt;250,-(((250/E30)*H135)*IF(G135="H",0.02,0.05)),IF(G135="H",-0.02*H135,-0.05*H135))),2)</f>
        <v>-95784.33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2376340.6899999995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Payments'!Q122</f>
        <v>-2385378.02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-9037.3300000005402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-9037.33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22723.87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82"/>
      <c r="Q149" s="73"/>
      <c r="R149" s="73"/>
      <c r="S149" s="73"/>
      <c r="T149" s="73"/>
      <c r="U149" s="73"/>
    </row>
    <row r="150" spans="1:21" x14ac:dyDescent="0.25">
      <c r="B150" s="69"/>
      <c r="C150" s="69"/>
      <c r="D150" s="69"/>
      <c r="E150" s="69"/>
      <c r="F150" s="69"/>
      <c r="G150" s="69"/>
      <c r="H150" s="65"/>
      <c r="I150" s="134"/>
      <c r="N150" s="73"/>
      <c r="O150" s="73"/>
      <c r="P150" s="382"/>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374</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151"/>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41"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26.17</v>
      </c>
      <c r="D18" s="143">
        <v>25.34</v>
      </c>
      <c r="E18" s="116">
        <f t="shared" si="1"/>
        <v>51.510000000000005</v>
      </c>
      <c r="F18" s="679">
        <f>'1461'!F18:G18</f>
        <v>0.98799999999999999</v>
      </c>
      <c r="G18" s="679"/>
      <c r="H18" s="80">
        <f t="shared" si="2"/>
        <v>50.8919</v>
      </c>
      <c r="I18" s="101">
        <f t="shared" si="3"/>
        <v>273132.05</v>
      </c>
      <c r="N18" s="621" t="s">
        <v>24</v>
      </c>
      <c r="O18" s="621"/>
      <c r="P18" s="662">
        <f t="shared" si="0"/>
        <v>0</v>
      </c>
      <c r="Q18" s="662"/>
      <c r="R18" s="667">
        <v>1</v>
      </c>
      <c r="S18" s="667"/>
      <c r="T18" s="95">
        <f t="shared" si="4"/>
        <v>0</v>
      </c>
      <c r="U18" s="486">
        <f t="shared" si="5"/>
        <v>0</v>
      </c>
    </row>
    <row r="19" spans="1:21" x14ac:dyDescent="0.25">
      <c r="A19" s="596" t="s">
        <v>25</v>
      </c>
      <c r="B19" s="596"/>
      <c r="C19" s="143">
        <v>3.54</v>
      </c>
      <c r="D19" s="143">
        <v>3.57</v>
      </c>
      <c r="E19" s="116">
        <f t="shared" si="1"/>
        <v>7.1099999999999994</v>
      </c>
      <c r="F19" s="679">
        <f>'1461'!F19:G19</f>
        <v>0.98799999999999999</v>
      </c>
      <c r="G19" s="679"/>
      <c r="H19" s="80">
        <f t="shared" si="2"/>
        <v>7.0247000000000002</v>
      </c>
      <c r="I19" s="101">
        <f t="shared" si="3"/>
        <v>37700.910000000003</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3.17</v>
      </c>
      <c r="D28" s="143">
        <v>4.1100000000000003</v>
      </c>
      <c r="E28" s="116">
        <f t="shared" si="1"/>
        <v>7.28</v>
      </c>
      <c r="F28" s="679">
        <f>'1461'!F28:G28</f>
        <v>1.208</v>
      </c>
      <c r="G28" s="679"/>
      <c r="H28" s="80">
        <f t="shared" si="2"/>
        <v>8.7942</v>
      </c>
      <c r="I28" s="101">
        <f t="shared" si="3"/>
        <v>47197.65</v>
      </c>
      <c r="N28" s="621" t="s">
        <v>87</v>
      </c>
      <c r="O28" s="621"/>
      <c r="P28" s="662">
        <f t="shared" si="0"/>
        <v>0</v>
      </c>
      <c r="Q28" s="662"/>
      <c r="R28" s="667">
        <v>1</v>
      </c>
      <c r="S28" s="667"/>
      <c r="T28" s="95">
        <f t="shared" si="4"/>
        <v>0</v>
      </c>
      <c r="U28" s="486">
        <f t="shared" si="5"/>
        <v>0</v>
      </c>
    </row>
    <row r="29" spans="1:21" x14ac:dyDescent="0.25">
      <c r="A29" s="596" t="s">
        <v>88</v>
      </c>
      <c r="B29" s="596"/>
      <c r="C29" s="110">
        <v>1.79</v>
      </c>
      <c r="D29" s="110">
        <v>1.61</v>
      </c>
      <c r="E29" s="154">
        <f t="shared" si="1"/>
        <v>3.4000000000000004</v>
      </c>
      <c r="F29" s="679">
        <f>'1461'!F29:G29</f>
        <v>1.0720000000000001</v>
      </c>
      <c r="G29" s="679"/>
      <c r="H29" s="93">
        <f t="shared" si="2"/>
        <v>3.6448</v>
      </c>
      <c r="I29" s="94">
        <f t="shared" si="3"/>
        <v>19561.3</v>
      </c>
      <c r="N29" s="636" t="s">
        <v>88</v>
      </c>
      <c r="O29" s="636"/>
      <c r="P29" s="662">
        <f t="shared" si="0"/>
        <v>0</v>
      </c>
      <c r="Q29" s="662"/>
      <c r="R29" s="663">
        <v>1</v>
      </c>
      <c r="S29" s="663"/>
      <c r="T29" s="95">
        <f t="shared" si="4"/>
        <v>0</v>
      </c>
      <c r="U29" s="486">
        <f t="shared" si="5"/>
        <v>0</v>
      </c>
    </row>
    <row r="30" spans="1:21" x14ac:dyDescent="0.25">
      <c r="A30" s="608" t="s">
        <v>5</v>
      </c>
      <c r="B30" s="608"/>
      <c r="C30" s="94">
        <f>SUM(C14:C29)</f>
        <v>34.67</v>
      </c>
      <c r="D30" s="94">
        <f>SUM(D14:D29)</f>
        <v>34.630000000000003</v>
      </c>
      <c r="E30" s="94">
        <f>SUM(E14:E29)</f>
        <v>69.300000000000011</v>
      </c>
      <c r="F30" s="600"/>
      <c r="G30" s="600"/>
      <c r="H30" s="99">
        <f>SUM(H14:H29)</f>
        <v>70.35560000000001</v>
      </c>
      <c r="I30" s="94">
        <f>SUM(I14:I29)</f>
        <v>377591.91</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70.35560000000001</v>
      </c>
      <c r="F46" s="34"/>
      <c r="G46" s="106"/>
      <c r="H46" s="107" t="s">
        <v>98</v>
      </c>
      <c r="I46" s="94">
        <f>SUM(I44,I30)</f>
        <v>377591.91</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208342.76</v>
      </c>
      <c r="G51" s="109" t="s">
        <v>6</v>
      </c>
      <c r="H51" s="415">
        <v>4.5199999999999997E-2</v>
      </c>
      <c r="I51" s="101">
        <f>ROUND(F51*H51,2)</f>
        <v>9417.09</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208342.76</v>
      </c>
      <c r="G52" s="109" t="s">
        <v>6</v>
      </c>
      <c r="H52" s="415">
        <v>1.41E-2</v>
      </c>
      <c r="I52" s="101">
        <f>ROUND(F52*H52,2)</f>
        <v>2937.63</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12354.720000000001</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IF(D$66=0,C57*2,C57+D57)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3.03</v>
      </c>
      <c r="D63" s="143">
        <v>3.06</v>
      </c>
      <c r="E63" s="116">
        <f t="shared" si="10"/>
        <v>6.09</v>
      </c>
      <c r="F63" s="457" t="s">
        <v>14</v>
      </c>
      <c r="G63" s="456">
        <v>251</v>
      </c>
      <c r="H63" s="470">
        <f>'1461'!H63</f>
        <v>835</v>
      </c>
      <c r="I63" s="101">
        <f t="shared" si="11"/>
        <v>5085.1499999999996</v>
      </c>
      <c r="N63" s="639"/>
      <c r="O63" s="639"/>
      <c r="P63" s="642"/>
      <c r="Q63" s="642"/>
      <c r="R63" s="40" t="s">
        <v>14</v>
      </c>
      <c r="S63" s="462">
        <v>251</v>
      </c>
      <c r="T63" s="473">
        <f t="shared" si="12"/>
        <v>835</v>
      </c>
      <c r="U63" s="487">
        <f t="shared" si="13"/>
        <v>0</v>
      </c>
      <c r="V63" s="438"/>
    </row>
    <row r="64" spans="1:22" x14ac:dyDescent="0.25">
      <c r="A64" s="607"/>
      <c r="B64" s="607"/>
      <c r="C64" s="143">
        <v>0.51</v>
      </c>
      <c r="D64" s="143">
        <v>0.51</v>
      </c>
      <c r="E64" s="116">
        <f t="shared" si="10"/>
        <v>1.02</v>
      </c>
      <c r="F64" s="457" t="s">
        <v>14</v>
      </c>
      <c r="G64" s="456">
        <v>252</v>
      </c>
      <c r="H64" s="470">
        <f>'1461'!H64</f>
        <v>3168</v>
      </c>
      <c r="I64" s="101">
        <f t="shared" si="11"/>
        <v>3231.36</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3.54</v>
      </c>
      <c r="D66" s="97">
        <f>SUM(D57:D65)</f>
        <v>3.5700000000000003</v>
      </c>
      <c r="E66" s="97">
        <f>SUM(E57:E65)</f>
        <v>7.1099999999999994</v>
      </c>
      <c r="F66" s="608" t="s">
        <v>471</v>
      </c>
      <c r="G66" s="608"/>
      <c r="H66" s="608"/>
      <c r="I66" s="97">
        <f>SUM(I57:I65)</f>
        <v>8316.51</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69.300000000000011</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3.4200000000000002E-4</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70.35560000000001</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3.0800000000000001E-4</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69.300000000000011</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3.7100000000000002E-4</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69.300000000000011</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3.4200000000000002E-4</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69.300000000000011</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3.7199999999999999E-4</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3.4200000000000002E-4</v>
      </c>
      <c r="I85" s="101">
        <f>ROUND(F85*H85,2)</f>
        <v>15219.9</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3.4200000000000002E-4</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3.7199999999999999E-4</v>
      </c>
      <c r="I90" s="101">
        <f>ROUND(F90*H90,2)</f>
        <v>6067.01</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3.7100000000000002E-4</v>
      </c>
      <c r="I92" s="101">
        <f t="shared" ref="I92:I96" si="14">ROUND(F92*H92,2)</f>
        <v>3765.15</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3.0800000000000001E-4</v>
      </c>
      <c r="I94" s="101">
        <f t="shared" si="14"/>
        <v>73611.28</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3.0800000000000001E-4</v>
      </c>
      <c r="I96" s="101">
        <f t="shared" si="14"/>
        <v>0</v>
      </c>
      <c r="N96" s="620" t="s">
        <v>446</v>
      </c>
      <c r="O96" s="621"/>
      <c r="P96" s="621"/>
      <c r="Q96" s="44"/>
      <c r="R96" s="433">
        <f t="shared" si="15"/>
        <v>0</v>
      </c>
      <c r="S96" s="38" t="s">
        <v>6</v>
      </c>
      <c r="T96" s="435">
        <f>T73</f>
        <v>0</v>
      </c>
      <c r="U96" s="486">
        <f>ROUND(R96*T96,2)</f>
        <v>0</v>
      </c>
    </row>
    <row r="97" spans="1:21" x14ac:dyDescent="0.25">
      <c r="A97" s="81"/>
      <c r="B97" s="69"/>
      <c r="C97" s="69"/>
      <c r="D97" s="69"/>
      <c r="E97" s="43"/>
      <c r="F97" s="117"/>
      <c r="G97" s="37"/>
      <c r="H97" s="436"/>
      <c r="I97" s="101"/>
      <c r="N97" s="397"/>
      <c r="O97" s="45"/>
      <c r="P97" s="45"/>
      <c r="Q97" s="44"/>
      <c r="R97" s="434"/>
      <c r="S97" s="38"/>
      <c r="T97" s="435"/>
      <c r="U97" s="103"/>
    </row>
    <row r="98" spans="1:21" x14ac:dyDescent="0.25">
      <c r="A98" s="539" t="s">
        <v>525</v>
      </c>
      <c r="B98" s="538"/>
      <c r="C98" s="538"/>
      <c r="D98" s="538"/>
      <c r="E98" s="536" t="s">
        <v>3</v>
      </c>
      <c r="F98" s="289">
        <v>0</v>
      </c>
      <c r="G98" s="537" t="s">
        <v>6</v>
      </c>
      <c r="H98" s="436">
        <f>H70</f>
        <v>3.4200000000000002E-4</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70.35560000000001</v>
      </c>
      <c r="D106" s="614"/>
      <c r="E106" s="46">
        <f>H8</f>
        <v>1.0442</v>
      </c>
      <c r="F106" s="302">
        <f>'1461'!F106</f>
        <v>906.93</v>
      </c>
      <c r="G106" s="39" t="s">
        <v>12</v>
      </c>
      <c r="H106" s="94">
        <f>ROUND(C106*E106*F106,2)</f>
        <v>66627.899999999994</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70.35560000000001</v>
      </c>
      <c r="D107" s="604"/>
      <c r="E107" s="123"/>
      <c r="F107" s="123"/>
      <c r="G107" s="123"/>
      <c r="H107" s="124" t="s">
        <v>100</v>
      </c>
      <c r="I107" s="101">
        <f>IF(A1=75,0,H106+H105+H104)</f>
        <v>66627.899999999994</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41"/>
      <c r="D112" s="339"/>
      <c r="E112" s="339" t="s">
        <v>2</v>
      </c>
      <c r="F112" s="43"/>
      <c r="G112" s="43"/>
      <c r="H112" s="43"/>
      <c r="I112" s="43"/>
      <c r="N112" s="45"/>
      <c r="O112" s="45"/>
      <c r="P112" s="45"/>
      <c r="Q112" s="125"/>
      <c r="R112" s="125"/>
      <c r="S112" s="125"/>
      <c r="T112" s="125"/>
      <c r="U112" s="103"/>
    </row>
    <row r="113" spans="1:21" x14ac:dyDescent="0.25">
      <c r="A113" s="575" t="s">
        <v>403</v>
      </c>
      <c r="B113" s="576"/>
      <c r="C113" s="143">
        <v>0</v>
      </c>
      <c r="D113" s="143">
        <v>0</v>
      </c>
      <c r="E113" s="116">
        <f>(C113+D113)/2</f>
        <v>0</v>
      </c>
      <c r="F113" s="126" t="s">
        <v>30</v>
      </c>
      <c r="G113" s="303">
        <f>'1461'!G113</f>
        <v>536</v>
      </c>
      <c r="I113" s="101">
        <f>ROUND(G113*E113,2)</f>
        <v>0</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551199.66</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538844.94000000006</v>
      </c>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538844.94000000006</v>
      </c>
      <c r="I135" s="94">
        <f>ROUND(IF(E30=0,0,IF(E30&gt;250,-(((250/E30)*H135)*IF(G135="H",0.02,0.05)),IF(G135="H",-0.02*H135,-0.05*H135))),2)</f>
        <v>-26942.25</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524257.41000000003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Payments'!Q123</f>
        <v>-523144.43000000005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1112.9799999999814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1112.98</v>
      </c>
      <c r="J145" s="2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35" t="str">
        <f>'1461'!A152</f>
        <v>(a) Additional FTE includes FTE earned through Advanced Placement, International Baccalaureate, Advanced International Certificate of Education, Industry Certified Career</v>
      </c>
      <c r="B152" s="400"/>
      <c r="C152" s="400"/>
      <c r="D152" s="400"/>
      <c r="E152" s="400"/>
      <c r="F152" s="400"/>
      <c r="G152" s="400"/>
      <c r="H152" s="400"/>
      <c r="I152" s="400"/>
      <c r="J152" s="77"/>
      <c r="K152" s="76"/>
      <c r="L152" s="76"/>
      <c r="M152" s="76"/>
      <c r="N152" s="73"/>
      <c r="O152" s="73"/>
      <c r="P152" s="73"/>
      <c r="Q152" s="73"/>
      <c r="R152" s="73"/>
      <c r="S152" s="73"/>
      <c r="T152" s="73"/>
      <c r="U152" s="73"/>
    </row>
    <row r="153" spans="1:21" ht="15.75" customHeight="1" x14ac:dyDescent="0.25">
      <c r="A153" s="360" t="s">
        <v>394</v>
      </c>
      <c r="B153" s="400"/>
      <c r="C153" s="400"/>
      <c r="D153" s="400"/>
      <c r="E153" s="400"/>
      <c r="F153" s="400"/>
      <c r="G153" s="400"/>
      <c r="H153" s="400"/>
      <c r="I153" s="400"/>
      <c r="J153" s="77"/>
      <c r="K153" s="76"/>
      <c r="L153" s="76"/>
      <c r="M153" s="76"/>
      <c r="N153" s="73"/>
      <c r="O153" s="73"/>
      <c r="P153" s="73"/>
      <c r="Q153" s="73"/>
      <c r="R153" s="73"/>
      <c r="S153" s="73"/>
      <c r="T153" s="73"/>
      <c r="U153" s="73"/>
    </row>
    <row r="154" spans="1:21" x14ac:dyDescent="0.25">
      <c r="A154" s="335" t="s">
        <v>395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35" t="s">
        <v>396</v>
      </c>
      <c r="B155" s="252"/>
      <c r="C155" s="252"/>
      <c r="D155" s="252"/>
      <c r="E155" s="252"/>
      <c r="F155" s="252"/>
      <c r="G155" s="252"/>
      <c r="H155" s="252"/>
      <c r="I155" s="252"/>
      <c r="N155" s="645"/>
      <c r="O155" s="645"/>
      <c r="P155" s="645"/>
      <c r="Q155" s="645"/>
      <c r="R155" s="645"/>
      <c r="S155" s="645"/>
      <c r="T155" s="645"/>
      <c r="U155" s="645"/>
    </row>
    <row r="156" spans="1:21" s="76" customFormat="1" x14ac:dyDescent="0.2">
      <c r="A156" s="335" t="s">
        <v>397</v>
      </c>
      <c r="B156" s="252"/>
      <c r="C156" s="252"/>
      <c r="D156" s="252"/>
      <c r="E156" s="252"/>
      <c r="F156" s="252"/>
      <c r="G156" s="252"/>
      <c r="H156" s="252"/>
      <c r="I156" s="252"/>
      <c r="N156" s="73"/>
      <c r="O156" s="73"/>
      <c r="P156" s="73"/>
      <c r="Q156" s="73"/>
      <c r="R156" s="73"/>
      <c r="S156" s="73"/>
      <c r="T156" s="73"/>
      <c r="U156" s="73"/>
    </row>
    <row r="157" spans="1:21" s="76" customFormat="1" x14ac:dyDescent="0.2">
      <c r="A157" s="335" t="s">
        <v>398</v>
      </c>
      <c r="B157" s="252"/>
      <c r="C157" s="252"/>
      <c r="D157" s="252"/>
      <c r="E157" s="252"/>
      <c r="F157" s="252"/>
      <c r="G157" s="252"/>
      <c r="H157" s="252"/>
      <c r="I157" s="252"/>
      <c r="N157" s="78"/>
      <c r="O157" s="79"/>
      <c r="P157" s="79"/>
      <c r="Q157" s="79"/>
      <c r="R157" s="79"/>
      <c r="S157" s="79"/>
      <c r="T157" s="79"/>
      <c r="U157" s="79"/>
    </row>
    <row r="158" spans="1:21" s="76" customFormat="1" x14ac:dyDescent="0.2">
      <c r="A158" s="335" t="s">
        <v>399</v>
      </c>
      <c r="B158" s="252"/>
      <c r="C158" s="252"/>
      <c r="D158" s="252"/>
      <c r="E158" s="252"/>
      <c r="F158" s="252"/>
      <c r="G158" s="252"/>
      <c r="H158" s="252"/>
      <c r="I158" s="252"/>
      <c r="N158" s="78"/>
    </row>
    <row r="159" spans="1:21" s="76" customFormat="1" x14ac:dyDescent="0.2">
      <c r="A159" s="335" t="s">
        <v>401</v>
      </c>
      <c r="B159" s="252"/>
      <c r="C159" s="252"/>
      <c r="D159" s="252"/>
      <c r="E159" s="252"/>
      <c r="F159" s="252"/>
      <c r="G159" s="252"/>
      <c r="H159" s="252"/>
      <c r="I159" s="252"/>
      <c r="N159" s="78"/>
    </row>
    <row r="160" spans="1:21" s="76" customFormat="1" x14ac:dyDescent="0.2">
      <c r="A160" s="399" t="s">
        <v>400</v>
      </c>
      <c r="B160" s="252"/>
      <c r="C160" s="252"/>
      <c r="D160" s="252"/>
      <c r="E160" s="252"/>
      <c r="F160" s="252"/>
      <c r="G160" s="252"/>
      <c r="H160" s="252"/>
      <c r="I160" s="252"/>
      <c r="N160" s="78"/>
    </row>
    <row r="161" spans="1:14" s="76" customFormat="1" x14ac:dyDescent="0.2">
      <c r="A161" s="335" t="s">
        <v>402</v>
      </c>
      <c r="B161" s="252"/>
      <c r="C161" s="252"/>
      <c r="D161" s="252"/>
      <c r="E161" s="252"/>
      <c r="F161" s="252"/>
      <c r="G161" s="252"/>
      <c r="H161" s="252"/>
      <c r="I161" s="252"/>
      <c r="N161" s="78"/>
    </row>
    <row r="162" spans="1:14" s="76" customFormat="1" x14ac:dyDescent="0.2">
      <c r="A162" s="360" t="str">
        <f>'1461'!A162</f>
        <v>"All Adjusted ESE Riders" should include only ESE Riders.</v>
      </c>
      <c r="B162" s="252"/>
      <c r="C162" s="252"/>
      <c r="D162" s="252"/>
      <c r="E162" s="252"/>
      <c r="F162" s="252"/>
      <c r="G162" s="252"/>
      <c r="H162" s="252"/>
      <c r="I162" s="252"/>
      <c r="N162" s="78"/>
    </row>
    <row r="163" spans="1:14" s="76" customFormat="1" x14ac:dyDescent="0.2">
      <c r="A163" s="335" t="s">
        <v>405</v>
      </c>
      <c r="B163" s="252"/>
      <c r="C163" s="252"/>
      <c r="D163" s="252"/>
      <c r="E163" s="252"/>
      <c r="F163" s="252"/>
      <c r="G163" s="252"/>
      <c r="H163" s="252"/>
      <c r="I163" s="252"/>
      <c r="N163" s="78"/>
    </row>
    <row r="164" spans="1:14" s="76" customFormat="1" ht="15.75" customHeight="1" x14ac:dyDescent="0.2">
      <c r="A164" s="335"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5" t="s">
        <v>407</v>
      </c>
      <c r="B165" s="292"/>
      <c r="C165" s="292"/>
      <c r="D165" s="292"/>
      <c r="E165" s="292"/>
      <c r="F165" s="292"/>
      <c r="G165" s="292"/>
      <c r="H165" s="292"/>
      <c r="I165" s="292"/>
      <c r="N165" s="78"/>
    </row>
    <row r="166" spans="1:14" s="76" customFormat="1" ht="15.75" customHeight="1" x14ac:dyDescent="0.2">
      <c r="A166" s="360" t="s">
        <v>406</v>
      </c>
      <c r="B166" s="292"/>
      <c r="C166" s="292"/>
      <c r="D166" s="292"/>
      <c r="E166" s="292"/>
      <c r="F166" s="292"/>
      <c r="G166" s="292"/>
      <c r="H166" s="292"/>
      <c r="I166" s="292"/>
      <c r="N166" s="78"/>
    </row>
    <row r="167" spans="1:14" s="76" customFormat="1" ht="15.75" customHeight="1" x14ac:dyDescent="0.2">
      <c r="A167" s="335" t="s">
        <v>408</v>
      </c>
      <c r="B167" s="352"/>
      <c r="C167" s="352"/>
      <c r="D167" s="352"/>
      <c r="E167" s="352"/>
      <c r="F167" s="352"/>
      <c r="G167" s="352"/>
      <c r="H167" s="352"/>
      <c r="I167" s="352"/>
      <c r="N167" s="78"/>
    </row>
    <row r="168" spans="1:14" s="76" customFormat="1" ht="15.75" customHeight="1" x14ac:dyDescent="0.2">
      <c r="A168" s="360" t="str">
        <f>'1461'!A168</f>
        <v xml:space="preserve">unweighted full-time equivalent students. </v>
      </c>
      <c r="B168" s="352"/>
      <c r="C168" s="352"/>
      <c r="D168" s="352"/>
      <c r="E168" s="352"/>
      <c r="F168" s="352"/>
      <c r="G168" s="352"/>
      <c r="H168" s="352"/>
      <c r="I168" s="352"/>
      <c r="N168" s="78"/>
    </row>
    <row r="169" spans="1:14" s="76" customFormat="1" ht="15.75" customHeight="1" x14ac:dyDescent="0.2">
      <c r="A169" s="335" t="s">
        <v>410</v>
      </c>
      <c r="B169" s="352"/>
      <c r="C169" s="352"/>
      <c r="D169" s="352"/>
      <c r="E169" s="352"/>
      <c r="F169" s="352"/>
      <c r="G169" s="352"/>
      <c r="H169" s="352"/>
      <c r="I169" s="352"/>
      <c r="N169" s="78"/>
    </row>
    <row r="170" spans="1:14" s="76" customFormat="1" ht="15.75" customHeight="1" x14ac:dyDescent="0.2">
      <c r="A170" s="360" t="s">
        <v>409</v>
      </c>
      <c r="B170" s="352"/>
      <c r="C170" s="352"/>
      <c r="D170" s="352"/>
      <c r="E170" s="352"/>
      <c r="F170" s="352"/>
      <c r="G170" s="352"/>
      <c r="H170" s="352"/>
      <c r="I170" s="352"/>
      <c r="N170" s="78"/>
    </row>
    <row r="171" spans="1:14" s="76" customFormat="1" ht="15.75" customHeight="1" x14ac:dyDescent="0.2">
      <c r="A171" s="335"/>
      <c r="B171" s="352"/>
      <c r="C171" s="352"/>
      <c r="D171" s="352"/>
      <c r="E171" s="352"/>
      <c r="F171" s="352"/>
      <c r="G171" s="352"/>
      <c r="H171" s="352"/>
      <c r="I171" s="352"/>
      <c r="N171" s="78"/>
    </row>
    <row r="172" spans="1:14" s="76" customFormat="1" ht="15.75" customHeight="1" x14ac:dyDescent="0.25">
      <c r="A172" s="36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6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0" t="s">
        <v>411</v>
      </c>
      <c r="B175" s="292"/>
      <c r="C175" s="292"/>
      <c r="D175" s="292"/>
      <c r="E175" s="292"/>
      <c r="F175" s="292"/>
      <c r="G175" s="292"/>
      <c r="H175" s="292"/>
      <c r="I175" s="292"/>
      <c r="J175" s="3"/>
      <c r="K175" s="3"/>
      <c r="L175" s="3"/>
      <c r="M175" s="3"/>
      <c r="N175" s="78"/>
    </row>
    <row r="176" spans="1:14" s="76" customFormat="1" ht="15.75" customHeight="1" x14ac:dyDescent="0.2">
      <c r="A176" s="370" t="s">
        <v>412</v>
      </c>
      <c r="B176" s="364"/>
      <c r="C176" s="364"/>
      <c r="D176" s="364"/>
      <c r="E176" s="364"/>
      <c r="F176" s="364"/>
      <c r="G176" s="364"/>
      <c r="H176" s="364"/>
      <c r="I176" s="364"/>
      <c r="N176" s="78"/>
    </row>
    <row r="177" spans="1:21" s="76" customFormat="1" ht="15.75" customHeight="1" x14ac:dyDescent="0.2">
      <c r="A177" s="369"/>
      <c r="B177" s="364"/>
      <c r="C177" s="364"/>
      <c r="D177" s="364"/>
      <c r="E177" s="364"/>
      <c r="F177" s="364"/>
      <c r="G177" s="364"/>
      <c r="H177" s="364"/>
      <c r="I177" s="364"/>
      <c r="N177" s="78"/>
    </row>
    <row r="178" spans="1:21" ht="15.75" customHeight="1" x14ac:dyDescent="0.25">
      <c r="A178" s="36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0" t="str">
        <f>'1461'!A179</f>
        <v>funding for which charter students may be eligible.  To calculate the administrative fee to be withheld for schools with more than 250 students, divide the school</v>
      </c>
      <c r="B179" s="352"/>
      <c r="C179" s="352"/>
      <c r="D179" s="352"/>
      <c r="E179" s="352"/>
      <c r="F179" s="352"/>
      <c r="G179" s="352"/>
      <c r="H179" s="352"/>
      <c r="I179" s="352"/>
      <c r="J179" s="76"/>
      <c r="K179" s="76"/>
      <c r="L179" s="76"/>
      <c r="M179" s="76"/>
      <c r="N179" s="74"/>
    </row>
    <row r="180" spans="1:21" s="76" customFormat="1" ht="15.75" customHeight="1" x14ac:dyDescent="0.25">
      <c r="A180" s="37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5"/>
      <c r="N181" s="78"/>
      <c r="O181" s="76"/>
      <c r="P181" s="76"/>
      <c r="Q181" s="76"/>
      <c r="R181" s="76"/>
      <c r="S181" s="76"/>
      <c r="T181" s="76"/>
      <c r="U181" s="76"/>
    </row>
    <row r="182" spans="1:21" x14ac:dyDescent="0.25">
      <c r="A182" s="368" t="str">
        <f>'1461'!A182</f>
        <v>Other:</v>
      </c>
      <c r="N182" s="78"/>
      <c r="O182" s="76"/>
      <c r="P182" s="76"/>
      <c r="Q182" s="76"/>
      <c r="R182" s="76"/>
      <c r="S182" s="76"/>
      <c r="T182" s="76"/>
      <c r="U182" s="76"/>
    </row>
    <row r="183" spans="1:21" x14ac:dyDescent="0.25">
      <c r="A183" s="36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2" t="str">
        <f>'1461'!A184</f>
        <v>by the Commissioner of Education.</v>
      </c>
      <c r="N184" s="74"/>
    </row>
    <row r="185" spans="1:21" x14ac:dyDescent="0.25">
      <c r="A185" s="36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274</v>
      </c>
      <c r="C2" s="171"/>
      <c r="D2" s="171"/>
      <c r="E2" s="161"/>
      <c r="F2" s="161"/>
      <c r="G2" s="161"/>
      <c r="H2" s="161"/>
    </row>
    <row r="3" spans="1:11" x14ac:dyDescent="0.25">
      <c r="B3" s="172" t="s">
        <v>259</v>
      </c>
      <c r="C3" s="172"/>
      <c r="D3" s="172"/>
      <c r="E3" s="282" t="str">
        <f>'1461'!F4</f>
        <v>FY 2024 Final Payment</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267</v>
      </c>
    </row>
    <row r="9" spans="1:11" x14ac:dyDescent="0.25">
      <c r="A9" s="158"/>
      <c r="B9" s="173" t="s">
        <v>237</v>
      </c>
      <c r="C9" s="173"/>
      <c r="D9" s="173"/>
      <c r="E9" s="245">
        <v>0</v>
      </c>
      <c r="F9" s="158"/>
      <c r="G9" s="158"/>
      <c r="H9" s="158"/>
      <c r="K9" s="249" t="s">
        <v>267</v>
      </c>
    </row>
    <row r="10" spans="1:11" x14ac:dyDescent="0.25">
      <c r="A10" s="158"/>
      <c r="B10" s="162" t="s">
        <v>138</v>
      </c>
      <c r="C10" s="162"/>
      <c r="D10" s="162"/>
      <c r="E10" s="245">
        <v>126865223</v>
      </c>
      <c r="F10" s="158"/>
      <c r="G10" s="158"/>
      <c r="H10" s="158"/>
      <c r="K10" s="249" t="s">
        <v>267</v>
      </c>
    </row>
    <row r="11" spans="1:11" x14ac:dyDescent="0.25">
      <c r="A11" s="158"/>
      <c r="B11" s="162" t="s">
        <v>139</v>
      </c>
      <c r="C11" s="162"/>
      <c r="D11" s="162"/>
      <c r="E11" s="245">
        <v>0</v>
      </c>
      <c r="F11" s="158"/>
      <c r="G11" s="158"/>
      <c r="H11" s="158"/>
      <c r="K11" s="249" t="s">
        <v>267</v>
      </c>
    </row>
    <row r="12" spans="1:11" x14ac:dyDescent="0.25">
      <c r="A12" s="158"/>
      <c r="B12" s="162" t="s">
        <v>140</v>
      </c>
      <c r="C12" s="162"/>
      <c r="D12" s="162"/>
      <c r="E12" s="245">
        <v>8613749</v>
      </c>
      <c r="F12" s="158"/>
      <c r="G12" s="158"/>
      <c r="H12" s="158"/>
      <c r="K12" s="249" t="s">
        <v>267</v>
      </c>
    </row>
    <row r="13" spans="1:11" x14ac:dyDescent="0.25">
      <c r="A13" s="158"/>
      <c r="B13" s="162" t="s">
        <v>141</v>
      </c>
      <c r="C13" s="162"/>
      <c r="D13" s="162"/>
      <c r="E13" s="245">
        <v>14865036</v>
      </c>
      <c r="F13" s="158"/>
      <c r="G13" s="158"/>
      <c r="H13" s="158"/>
      <c r="K13" s="249" t="s">
        <v>267</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267</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245</v>
      </c>
      <c r="C22" s="167"/>
      <c r="D22" s="167"/>
      <c r="E22" s="247">
        <v>0</v>
      </c>
      <c r="F22" s="158"/>
      <c r="G22" s="158"/>
      <c r="H22" s="158"/>
    </row>
    <row r="23" spans="1:8" x14ac:dyDescent="0.25">
      <c r="A23" s="158"/>
      <c r="B23" s="258" t="s">
        <v>246</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7"/>
      <c r="F33" s="158"/>
      <c r="G33" s="166"/>
      <c r="H33" s="158"/>
    </row>
    <row r="34" spans="1:8" x14ac:dyDescent="0.25">
      <c r="A34" s="158"/>
      <c r="B34" s="3" t="s">
        <v>247</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249</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270</v>
      </c>
      <c r="B41" s="294"/>
      <c r="C41" s="294"/>
      <c r="D41" s="294"/>
      <c r="E41" s="294"/>
    </row>
    <row r="42" spans="1:8" x14ac:dyDescent="0.25">
      <c r="A42" s="293" t="s">
        <v>271</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topLeftCell="A112" workbookViewId="0">
      <selection activeCell="I145" sqref="I14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253</v>
      </c>
      <c r="B2" s="2"/>
      <c r="C2" s="2"/>
      <c r="D2" s="2"/>
      <c r="E2" s="2"/>
      <c r="F2" s="2"/>
      <c r="G2" s="2"/>
      <c r="H2" s="2"/>
      <c r="I2" s="2"/>
      <c r="N2" s="682" t="s">
        <v>18</v>
      </c>
      <c r="O2" s="682"/>
      <c r="P2" s="682"/>
      <c r="Q2" s="682"/>
      <c r="R2" s="682"/>
      <c r="S2" s="682"/>
      <c r="T2" s="682"/>
      <c r="U2" s="682"/>
    </row>
    <row r="3" spans="1:21" x14ac:dyDescent="0.25">
      <c r="A3" s="253" t="s">
        <v>544</v>
      </c>
      <c r="N3" s="647" t="str">
        <f>A3</f>
        <v>Based on the FLDOE 2023-24 FEFP Final Calculation</v>
      </c>
      <c r="O3" s="647"/>
      <c r="P3" s="647"/>
      <c r="Q3" s="647"/>
      <c r="R3" s="647"/>
      <c r="S3" s="647"/>
      <c r="T3" s="647"/>
      <c r="U3" s="647"/>
    </row>
    <row r="4" spans="1:21" x14ac:dyDescent="0.25">
      <c r="A4" s="586" t="s">
        <v>0</v>
      </c>
      <c r="B4" s="586"/>
      <c r="C4" s="587" t="s">
        <v>9</v>
      </c>
      <c r="D4" s="587"/>
      <c r="E4" s="587"/>
      <c r="F4" s="324" t="s">
        <v>547</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v>5139.7299999999996</v>
      </c>
      <c r="D8" s="86"/>
      <c r="E8" s="87"/>
      <c r="F8" s="84"/>
      <c r="G8" s="85" t="s">
        <v>416</v>
      </c>
      <c r="H8" s="286">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v>1</v>
      </c>
      <c r="I9" s="75"/>
      <c r="N9" s="12"/>
      <c r="O9" s="12"/>
      <c r="P9" s="13"/>
      <c r="Q9" s="13"/>
      <c r="R9" s="398" t="s">
        <v>415</v>
      </c>
      <c r="S9" s="398"/>
      <c r="T9" s="668">
        <f>H9</f>
        <v>1</v>
      </c>
      <c r="U9" s="668"/>
    </row>
    <row r="10" spans="1:21" x14ac:dyDescent="0.25">
      <c r="A10" s="7"/>
      <c r="B10" s="7" t="s">
        <v>329</v>
      </c>
      <c r="C10" s="8" t="s">
        <v>329</v>
      </c>
      <c r="D10" s="8" t="s">
        <v>329</v>
      </c>
      <c r="E10" s="8"/>
      <c r="F10" s="9"/>
      <c r="G10" s="9"/>
      <c r="H10" s="10"/>
      <c r="I10" s="340" t="s">
        <v>413</v>
      </c>
      <c r="N10" s="12"/>
      <c r="O10" s="12"/>
      <c r="P10" s="13"/>
      <c r="Q10" s="13"/>
      <c r="R10" s="14"/>
      <c r="S10" s="14"/>
      <c r="T10" s="15"/>
      <c r="U10" s="380" t="str">
        <f>I10</f>
        <v>2023-24</v>
      </c>
    </row>
    <row r="11" spans="1:21" x14ac:dyDescent="0.25">
      <c r="A11" s="7"/>
      <c r="B11" s="7"/>
      <c r="C11" s="88" t="s">
        <v>519</v>
      </c>
      <c r="D11" s="348" t="s">
        <v>520</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36" t="s">
        <v>1</v>
      </c>
      <c r="B12" s="36"/>
      <c r="C12" s="339" t="s">
        <v>2</v>
      </c>
      <c r="D12" s="339" t="s">
        <v>2</v>
      </c>
      <c r="E12" s="90"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271.7</v>
      </c>
      <c r="D18" s="143">
        <v>262.5</v>
      </c>
      <c r="E18" s="116">
        <f>IF(D$30=0,C18*2,C18+D18)</f>
        <v>534.20000000000005</v>
      </c>
      <c r="F18" s="679">
        <v>0.98799999999999999</v>
      </c>
      <c r="G18" s="679"/>
      <c r="H18" s="80">
        <f t="shared" si="2"/>
        <v>527.78959999999995</v>
      </c>
      <c r="I18" s="101">
        <f t="shared" si="3"/>
        <v>2832597.21</v>
      </c>
      <c r="N18" s="621" t="s">
        <v>24</v>
      </c>
      <c r="O18" s="621"/>
      <c r="P18" s="662">
        <f t="shared" si="0"/>
        <v>0</v>
      </c>
      <c r="Q18" s="662"/>
      <c r="R18" s="667">
        <v>1</v>
      </c>
      <c r="S18" s="667"/>
      <c r="T18" s="95">
        <f t="shared" si="4"/>
        <v>0</v>
      </c>
      <c r="U18" s="486">
        <f t="shared" si="5"/>
        <v>0</v>
      </c>
    </row>
    <row r="19" spans="1:21" x14ac:dyDescent="0.25">
      <c r="A19" s="596" t="s">
        <v>25</v>
      </c>
      <c r="B19" s="596"/>
      <c r="C19" s="143">
        <v>37.94</v>
      </c>
      <c r="D19" s="143">
        <v>36.909999999999997</v>
      </c>
      <c r="E19" s="116">
        <f t="shared" si="1"/>
        <v>74.849999999999994</v>
      </c>
      <c r="F19" s="679">
        <v>0.98799999999999999</v>
      </c>
      <c r="G19" s="679"/>
      <c r="H19" s="80">
        <f t="shared" si="2"/>
        <v>73.951800000000006</v>
      </c>
      <c r="I19" s="101">
        <f t="shared" si="3"/>
        <v>396892.36</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c r="D20" s="143">
        <v>0</v>
      </c>
      <c r="E20" s="116">
        <f t="shared" si="1"/>
        <v>0</v>
      </c>
      <c r="F20" s="679">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c r="D21" s="143">
        <v>0</v>
      </c>
      <c r="E21" s="116">
        <f t="shared" si="1"/>
        <v>0</v>
      </c>
      <c r="F21" s="679">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c r="D22" s="143">
        <v>0</v>
      </c>
      <c r="E22" s="116">
        <f t="shared" si="1"/>
        <v>0</v>
      </c>
      <c r="F22" s="679">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c r="D23" s="143">
        <v>0</v>
      </c>
      <c r="E23" s="116">
        <f t="shared" si="1"/>
        <v>0</v>
      </c>
      <c r="F23" s="679">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c r="D24" s="143">
        <v>0</v>
      </c>
      <c r="E24" s="116">
        <f t="shared" si="1"/>
        <v>0</v>
      </c>
      <c r="F24" s="679">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c r="D25" s="143">
        <v>0</v>
      </c>
      <c r="E25" s="116">
        <f t="shared" si="1"/>
        <v>0</v>
      </c>
      <c r="F25" s="679">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v>1.208</v>
      </c>
      <c r="G26" s="679"/>
      <c r="H26" s="80">
        <f t="shared" si="2"/>
        <v>0</v>
      </c>
      <c r="I26" s="101">
        <f t="shared" si="3"/>
        <v>0</v>
      </c>
      <c r="L26" s="251"/>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v>1.208</v>
      </c>
      <c r="G27" s="679"/>
      <c r="H27" s="80">
        <f t="shared" si="2"/>
        <v>0</v>
      </c>
      <c r="I27" s="101">
        <f t="shared" si="3"/>
        <v>0</v>
      </c>
      <c r="L27" s="251"/>
      <c r="N27" s="621" t="s">
        <v>86</v>
      </c>
      <c r="O27" s="621"/>
      <c r="P27" s="662">
        <f t="shared" si="0"/>
        <v>0</v>
      </c>
      <c r="Q27" s="662"/>
      <c r="R27" s="667">
        <v>1</v>
      </c>
      <c r="S27" s="667"/>
      <c r="T27" s="95">
        <f t="shared" si="4"/>
        <v>0</v>
      </c>
      <c r="U27" s="486">
        <f t="shared" si="5"/>
        <v>0</v>
      </c>
    </row>
    <row r="28" spans="1:21" x14ac:dyDescent="0.25">
      <c r="A28" s="596" t="s">
        <v>87</v>
      </c>
      <c r="B28" s="596"/>
      <c r="C28" s="143">
        <v>2.8</v>
      </c>
      <c r="D28" s="143">
        <v>2.4300000000000002</v>
      </c>
      <c r="E28" s="116">
        <f t="shared" si="1"/>
        <v>5.23</v>
      </c>
      <c r="F28" s="679">
        <v>1.208</v>
      </c>
      <c r="G28" s="679"/>
      <c r="H28" s="80">
        <f t="shared" si="2"/>
        <v>6.3178000000000001</v>
      </c>
      <c r="I28" s="101">
        <f t="shared" si="3"/>
        <v>33907.040000000001</v>
      </c>
      <c r="N28" s="621" t="s">
        <v>87</v>
      </c>
      <c r="O28" s="621"/>
      <c r="P28" s="662">
        <f t="shared" si="0"/>
        <v>0</v>
      </c>
      <c r="Q28" s="662"/>
      <c r="R28" s="667">
        <v>1</v>
      </c>
      <c r="S28" s="667"/>
      <c r="T28" s="95">
        <f t="shared" si="4"/>
        <v>0</v>
      </c>
      <c r="U28" s="486">
        <f t="shared" si="5"/>
        <v>0</v>
      </c>
    </row>
    <row r="29" spans="1:21" x14ac:dyDescent="0.25">
      <c r="A29" s="596" t="s">
        <v>88</v>
      </c>
      <c r="B29" s="596"/>
      <c r="C29" s="110">
        <v>85.84</v>
      </c>
      <c r="D29" s="110">
        <v>82.9</v>
      </c>
      <c r="E29" s="154">
        <f t="shared" si="1"/>
        <v>168.74</v>
      </c>
      <c r="F29" s="679">
        <v>1.0720000000000001</v>
      </c>
      <c r="G29" s="679"/>
      <c r="H29" s="93">
        <f t="shared" si="2"/>
        <v>180.88929999999999</v>
      </c>
      <c r="I29" s="94">
        <f t="shared" si="3"/>
        <v>970815.88</v>
      </c>
      <c r="N29" s="636" t="s">
        <v>88</v>
      </c>
      <c r="O29" s="636"/>
      <c r="P29" s="662">
        <f t="shared" si="0"/>
        <v>0</v>
      </c>
      <c r="Q29" s="662"/>
      <c r="R29" s="663">
        <v>1</v>
      </c>
      <c r="S29" s="663"/>
      <c r="T29" s="95">
        <f t="shared" si="4"/>
        <v>0</v>
      </c>
      <c r="U29" s="486">
        <f t="shared" si="5"/>
        <v>0</v>
      </c>
    </row>
    <row r="30" spans="1:21" x14ac:dyDescent="0.25">
      <c r="A30" s="608" t="s">
        <v>5</v>
      </c>
      <c r="B30" s="608"/>
      <c r="C30" s="94">
        <f>SUM(C14:C29)</f>
        <v>398.28</v>
      </c>
      <c r="D30" s="94">
        <f>SUM(D14:D29)</f>
        <v>384.74</v>
      </c>
      <c r="E30" s="94">
        <f>SUM(E14:E29)</f>
        <v>783.0200000000001</v>
      </c>
      <c r="F30" s="600"/>
      <c r="G30" s="600"/>
      <c r="H30" s="99">
        <f>SUM(H14:H29)</f>
        <v>788.94849999999997</v>
      </c>
      <c r="I30" s="94">
        <f>SUM(I14:I29)</f>
        <v>4234212.49</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x14ac:dyDescent="0.25">
      <c r="A34" s="146"/>
      <c r="B34" s="26"/>
      <c r="C34" s="101"/>
      <c r="D34" s="101"/>
      <c r="E34" s="101"/>
      <c r="F34" s="688" t="s">
        <v>233</v>
      </c>
      <c r="G34" s="688"/>
      <c r="H34" s="688"/>
      <c r="I34" s="101"/>
      <c r="N34" s="28"/>
      <c r="O34" s="28"/>
      <c r="P34" s="29"/>
      <c r="Q34" s="29"/>
      <c r="R34" s="30"/>
      <c r="S34" s="30"/>
      <c r="T34" s="102"/>
      <c r="U34" s="103"/>
    </row>
    <row r="35" spans="1:21" ht="15.75" customHeight="1" x14ac:dyDescent="0.25">
      <c r="A35" s="3"/>
      <c r="B35" s="69"/>
      <c r="C35" s="69"/>
      <c r="D35" s="69"/>
      <c r="E35" s="69"/>
      <c r="F35" s="688"/>
      <c r="G35" s="688"/>
      <c r="H35" s="688"/>
      <c r="I35" s="24" t="str">
        <f>I10</f>
        <v>2023-24</v>
      </c>
      <c r="N35" s="647" t="s">
        <v>26</v>
      </c>
      <c r="O35" s="647"/>
      <c r="P35" s="647"/>
      <c r="Q35" s="647"/>
      <c r="R35" s="647"/>
      <c r="S35" s="647"/>
      <c r="T35" s="647"/>
      <c r="U35" s="25" t="str">
        <f>I35</f>
        <v>2023-24</v>
      </c>
    </row>
    <row r="36" spans="1:21" x14ac:dyDescent="0.25">
      <c r="A36" s="26"/>
      <c r="B36" s="26"/>
      <c r="C36" s="88" t="s">
        <v>334</v>
      </c>
      <c r="D36" s="88"/>
      <c r="E36" s="89" t="s">
        <v>8</v>
      </c>
      <c r="F36" s="688"/>
      <c r="G36" s="688"/>
      <c r="H36" s="688"/>
      <c r="I36" s="24" t="s">
        <v>27</v>
      </c>
      <c r="N36" s="28"/>
      <c r="O36" s="28"/>
      <c r="P36" s="29"/>
      <c r="Q36" s="29"/>
      <c r="R36" s="30"/>
      <c r="S36" s="30"/>
      <c r="T36" s="102"/>
      <c r="U36" s="25" t="s">
        <v>27</v>
      </c>
    </row>
    <row r="37" spans="1:21" ht="26.25" x14ac:dyDescent="0.25">
      <c r="A37" s="590" t="s">
        <v>50</v>
      </c>
      <c r="B37" s="590"/>
      <c r="C37" s="339" t="s">
        <v>2</v>
      </c>
      <c r="D37" s="339"/>
      <c r="E37" s="90" t="s">
        <v>2</v>
      </c>
      <c r="F37" s="689"/>
      <c r="G37" s="689"/>
      <c r="H37" s="689"/>
      <c r="I37" s="31" t="s">
        <v>418</v>
      </c>
      <c r="N37" s="659" t="s">
        <v>50</v>
      </c>
      <c r="O37" s="659"/>
      <c r="P37" s="660" t="s">
        <v>19</v>
      </c>
      <c r="Q37" s="660"/>
      <c r="R37" s="660"/>
      <c r="S37" s="660"/>
      <c r="T37" s="660"/>
      <c r="U37" s="19" t="str">
        <f>I37</f>
        <v>(WFTE x BSA x CWF x SDF)</v>
      </c>
    </row>
    <row r="38" spans="1:2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thickBot="1" x14ac:dyDescent="0.3">
      <c r="A45" s="3"/>
      <c r="B45" s="52"/>
      <c r="C45" s="101"/>
      <c r="D45" s="101"/>
      <c r="E45" s="111"/>
      <c r="F45" s="32"/>
      <c r="G45" s="106"/>
      <c r="H45" s="107"/>
      <c r="I45" s="101"/>
      <c r="N45" s="28"/>
      <c r="O45" s="28"/>
      <c r="P45" s="28"/>
      <c r="Q45" s="28"/>
      <c r="R45" s="33"/>
      <c r="S45" s="30"/>
      <c r="T45" s="30"/>
      <c r="U45" s="103"/>
    </row>
    <row r="46" spans="1:21" ht="16.5" thickBot="1" x14ac:dyDescent="0.3">
      <c r="A46" s="3"/>
      <c r="B46" s="52" t="s">
        <v>96</v>
      </c>
      <c r="E46" s="152">
        <f>H30+E44</f>
        <v>788.94849999999997</v>
      </c>
      <c r="F46" s="34"/>
      <c r="G46" s="106"/>
      <c r="H46" s="107" t="s">
        <v>98</v>
      </c>
      <c r="I46" s="94">
        <f>SUM(I44,I30)</f>
        <v>4234212.49</v>
      </c>
      <c r="N46" s="623" t="s">
        <v>44</v>
      </c>
      <c r="O46" s="623"/>
      <c r="P46" s="623"/>
      <c r="Q46" s="623"/>
      <c r="R46" s="35">
        <f>R44+T30</f>
        <v>0</v>
      </c>
      <c r="S46" s="637" t="s">
        <v>42</v>
      </c>
      <c r="T46" s="637"/>
      <c r="U46" s="108">
        <f>SUM(U44,U30)</f>
        <v>0</v>
      </c>
    </row>
    <row r="47" spans="1:21" ht="16.5"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690" t="s">
        <v>551</v>
      </c>
      <c r="B49" s="690"/>
      <c r="C49" s="690"/>
      <c r="D49" s="690"/>
      <c r="E49" s="690"/>
      <c r="F49" s="690"/>
      <c r="G49" s="690"/>
      <c r="H49" s="690"/>
      <c r="I49" s="557"/>
      <c r="N49" s="417" t="s">
        <v>420</v>
      </c>
      <c r="O49" s="409"/>
      <c r="P49" s="409"/>
      <c r="Q49" s="409"/>
      <c r="R49" s="410"/>
      <c r="S49" s="411"/>
      <c r="T49" s="411"/>
      <c r="U49" s="418"/>
    </row>
    <row r="50" spans="1:22" s="405" customFormat="1" ht="11.25" customHeight="1" x14ac:dyDescent="0.2">
      <c r="A50" s="690"/>
      <c r="B50" s="690"/>
      <c r="C50" s="690"/>
      <c r="D50" s="690"/>
      <c r="E50" s="690"/>
      <c r="F50" s="690"/>
      <c r="G50" s="690"/>
      <c r="H50" s="690"/>
      <c r="I50" s="557"/>
      <c r="N50" s="426" t="s">
        <v>421</v>
      </c>
      <c r="O50" s="409"/>
      <c r="P50" s="409"/>
      <c r="Q50" s="409"/>
      <c r="R50" s="410"/>
      <c r="S50" s="411"/>
      <c r="T50" s="411"/>
      <c r="U50" s="418"/>
    </row>
    <row r="51" spans="1:22" x14ac:dyDescent="0.25">
      <c r="A51" s="403"/>
      <c r="B51" s="555" t="s">
        <v>548</v>
      </c>
      <c r="C51" s="555"/>
      <c r="D51" s="555"/>
      <c r="E51" s="43" t="s">
        <v>423</v>
      </c>
      <c r="F51" s="414">
        <v>4019242.6799999997</v>
      </c>
      <c r="G51" s="109" t="s">
        <v>6</v>
      </c>
      <c r="H51" s="415">
        <v>4.5199999999999997E-2</v>
      </c>
      <c r="I51" s="101">
        <f>ROUND(F51*H51,2)</f>
        <v>181669.77</v>
      </c>
      <c r="N51" s="420"/>
      <c r="O51" s="51" t="s">
        <v>422</v>
      </c>
      <c r="P51" s="28"/>
      <c r="Q51" s="44" t="s">
        <v>423</v>
      </c>
      <c r="R51" s="422">
        <f>U30</f>
        <v>0</v>
      </c>
      <c r="S51" s="423" t="s">
        <v>6</v>
      </c>
      <c r="T51" s="424">
        <v>4.5199999999999997E-2</v>
      </c>
      <c r="U51" s="416">
        <f>ROUND(R51*T51,2)</f>
        <v>0</v>
      </c>
    </row>
    <row r="52" spans="1:22" x14ac:dyDescent="0.25">
      <c r="A52" s="26"/>
      <c r="B52" s="556" t="s">
        <v>549</v>
      </c>
      <c r="C52" s="555"/>
      <c r="D52" s="555"/>
      <c r="E52" s="43" t="s">
        <v>423</v>
      </c>
      <c r="F52" s="414">
        <v>4019242.6799999997</v>
      </c>
      <c r="G52" s="109" t="s">
        <v>6</v>
      </c>
      <c r="H52" s="415">
        <v>1.41E-2</v>
      </c>
      <c r="I52" s="101">
        <f>ROUND(F52*H52,2)</f>
        <v>56671.32</v>
      </c>
      <c r="N52" s="28"/>
      <c r="O52" s="397" t="s">
        <v>424</v>
      </c>
      <c r="P52" s="28"/>
      <c r="Q52" s="44" t="s">
        <v>423</v>
      </c>
      <c r="R52" s="422">
        <f>U30</f>
        <v>0</v>
      </c>
      <c r="S52" s="423" t="s">
        <v>6</v>
      </c>
      <c r="T52" s="424">
        <v>1.41E-2</v>
      </c>
      <c r="U52" s="425">
        <f>ROUND(R52*T52,2)</f>
        <v>0</v>
      </c>
    </row>
    <row r="53" spans="1:22" x14ac:dyDescent="0.25">
      <c r="A53" s="26"/>
      <c r="B53" s="554" t="s">
        <v>550</v>
      </c>
      <c r="C53" s="555"/>
      <c r="D53" s="555"/>
      <c r="E53" s="43"/>
      <c r="F53" s="414"/>
      <c r="G53" s="109"/>
      <c r="H53" s="415"/>
      <c r="I53" s="97">
        <f>SUM(I51:I52)</f>
        <v>238341.09</v>
      </c>
      <c r="N53" s="28"/>
      <c r="O53" s="397" t="s">
        <v>425</v>
      </c>
      <c r="P53" s="28"/>
      <c r="Q53" s="44"/>
      <c r="R53" s="422"/>
      <c r="S53" s="423"/>
      <c r="T53" s="424"/>
      <c r="U53" s="416">
        <f>SUM(U51:U52)</f>
        <v>0</v>
      </c>
    </row>
    <row r="54" spans="1:22" x14ac:dyDescent="0.25">
      <c r="A54" s="242"/>
      <c r="C54" s="457" t="s">
        <v>469</v>
      </c>
      <c r="D54" s="457" t="s">
        <v>469</v>
      </c>
      <c r="G54" s="42"/>
      <c r="H54" s="114"/>
      <c r="I54" s="114"/>
      <c r="N54" s="474"/>
      <c r="O54" s="51"/>
      <c r="P54" s="40" t="s">
        <v>469</v>
      </c>
      <c r="Q54" s="40" t="s">
        <v>469</v>
      </c>
      <c r="R54" s="51"/>
      <c r="S54" s="51"/>
      <c r="T54" s="475"/>
      <c r="U54" s="476"/>
      <c r="V54" s="114"/>
    </row>
    <row r="55" spans="1:22" x14ac:dyDescent="0.25">
      <c r="A55" s="458"/>
      <c r="B55" s="458"/>
      <c r="C55" s="88" t="s">
        <v>519</v>
      </c>
      <c r="D55" s="348" t="s">
        <v>520</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
        <v>2</v>
      </c>
      <c r="D56" s="339" t="s">
        <v>2</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2" si="10">IF(D$72=0,C57*2,C57+D57)</f>
        <v>0</v>
      </c>
      <c r="F57" s="456" t="s">
        <v>462</v>
      </c>
      <c r="G57" s="456">
        <v>251</v>
      </c>
      <c r="H57" s="470">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35.020000000000003</v>
      </c>
      <c r="D63" s="143">
        <v>35.409999999999997</v>
      </c>
      <c r="E63" s="116">
        <f>IF(D$66=0,C63*2,C63+D63)</f>
        <v>70.430000000000007</v>
      </c>
      <c r="F63" s="457" t="s">
        <v>14</v>
      </c>
      <c r="G63" s="456">
        <v>251</v>
      </c>
      <c r="H63" s="470">
        <v>835</v>
      </c>
      <c r="I63" s="101">
        <f t="shared" si="11"/>
        <v>58809.05</v>
      </c>
      <c r="N63" s="639"/>
      <c r="O63" s="639"/>
      <c r="P63" s="642"/>
      <c r="Q63" s="642"/>
      <c r="R63" s="40" t="s">
        <v>14</v>
      </c>
      <c r="S63" s="462">
        <v>251</v>
      </c>
      <c r="T63" s="473">
        <f t="shared" si="12"/>
        <v>835</v>
      </c>
      <c r="U63" s="487">
        <f t="shared" si="13"/>
        <v>0</v>
      </c>
      <c r="V63" s="438"/>
    </row>
    <row r="64" spans="1:22" x14ac:dyDescent="0.25">
      <c r="A64" s="607"/>
      <c r="B64" s="607"/>
      <c r="C64" s="143">
        <v>2.42</v>
      </c>
      <c r="D64" s="143">
        <v>1.5</v>
      </c>
      <c r="E64" s="116">
        <f>IF(D$66=0,C64*2,C64+D64)</f>
        <v>3.92</v>
      </c>
      <c r="F64" s="457" t="s">
        <v>14</v>
      </c>
      <c r="G64" s="456">
        <v>252</v>
      </c>
      <c r="H64" s="470">
        <v>3168</v>
      </c>
      <c r="I64" s="101">
        <f t="shared" si="11"/>
        <v>12418.56</v>
      </c>
      <c r="N64" s="639"/>
      <c r="O64" s="639"/>
      <c r="P64" s="642"/>
      <c r="Q64" s="642"/>
      <c r="R64" s="40" t="s">
        <v>14</v>
      </c>
      <c r="S64" s="462">
        <v>252</v>
      </c>
      <c r="T64" s="473">
        <f t="shared" si="12"/>
        <v>3168</v>
      </c>
      <c r="U64" s="487">
        <f t="shared" si="13"/>
        <v>0</v>
      </c>
      <c r="V64" s="438"/>
    </row>
    <row r="65" spans="1:22" ht="16.5" thickBot="1" x14ac:dyDescent="0.3">
      <c r="A65" s="607"/>
      <c r="B65" s="607"/>
      <c r="C65" s="143">
        <v>0.5</v>
      </c>
      <c r="D65" s="143">
        <v>0</v>
      </c>
      <c r="E65" s="116">
        <f>IF(D$66=0,C65*2,C65+D65)</f>
        <v>0.5</v>
      </c>
      <c r="F65" s="457" t="s">
        <v>14</v>
      </c>
      <c r="G65" s="456">
        <v>253</v>
      </c>
      <c r="H65" s="470">
        <v>6685</v>
      </c>
      <c r="I65" s="101">
        <f t="shared" si="11"/>
        <v>3342.5</v>
      </c>
      <c r="N65" s="639"/>
      <c r="O65" s="639"/>
      <c r="P65" s="643"/>
      <c r="Q65" s="643"/>
      <c r="R65" s="40" t="s">
        <v>14</v>
      </c>
      <c r="S65" s="462">
        <v>253</v>
      </c>
      <c r="T65" s="473">
        <f t="shared" si="12"/>
        <v>6685</v>
      </c>
      <c r="U65" s="488">
        <f t="shared" si="13"/>
        <v>0</v>
      </c>
      <c r="V65" s="438"/>
    </row>
    <row r="66" spans="1:22" ht="16.5" thickBot="1" x14ac:dyDescent="0.3">
      <c r="A66" s="242"/>
      <c r="C66" s="97">
        <f>SUM(C57:C65)</f>
        <v>37.940000000000005</v>
      </c>
      <c r="D66" s="97">
        <f>SUM(D57:D65)</f>
        <v>36.909999999999997</v>
      </c>
      <c r="E66" s="97">
        <f>SUM(E57:E65)</f>
        <v>74.850000000000009</v>
      </c>
      <c r="F66" s="608" t="s">
        <v>471</v>
      </c>
      <c r="G66" s="608"/>
      <c r="H66" s="608"/>
      <c r="I66" s="97">
        <f>SUM(I57:I65)</f>
        <v>74570.11</v>
      </c>
      <c r="N66" s="474"/>
      <c r="O66" s="51"/>
      <c r="P66" s="622">
        <f>SUM(P57:P65)</f>
        <v>0</v>
      </c>
      <c r="Q66" s="622"/>
      <c r="R66" s="623" t="s">
        <v>471</v>
      </c>
      <c r="S66" s="623"/>
      <c r="T66" s="623"/>
      <c r="U66" s="489">
        <f>SUM(U57:U65)</f>
        <v>0</v>
      </c>
      <c r="V66" s="438"/>
    </row>
    <row r="67" spans="1:22" x14ac:dyDescent="0.25">
      <c r="A67" s="242"/>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783.0200000000001</v>
      </c>
      <c r="D69" s="583" t="s">
        <v>437</v>
      </c>
      <c r="E69" s="583"/>
      <c r="F69" s="583"/>
      <c r="G69" s="583"/>
      <c r="H69" s="287">
        <v>202683.97</v>
      </c>
      <c r="I69" s="113"/>
      <c r="N69" s="620" t="s">
        <v>430</v>
      </c>
      <c r="O69" s="621"/>
      <c r="P69" s="41">
        <f>P30</f>
        <v>0</v>
      </c>
      <c r="Q69" s="626" t="s">
        <v>432</v>
      </c>
      <c r="R69" s="627"/>
      <c r="S69" s="627"/>
      <c r="T69" s="624">
        <f>H69</f>
        <v>202683.97</v>
      </c>
      <c r="U69" s="624"/>
    </row>
    <row r="70" spans="1:22" x14ac:dyDescent="0.25">
      <c r="B70" s="69"/>
      <c r="G70" s="42" t="s">
        <v>12</v>
      </c>
      <c r="H70" s="114">
        <f>ROUND(C69/H69,6)</f>
        <v>3.8630000000000001E-3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788.94849999999997</v>
      </c>
      <c r="D72" s="583" t="s">
        <v>438</v>
      </c>
      <c r="E72" s="583"/>
      <c r="F72" s="583"/>
      <c r="G72" s="583"/>
      <c r="H72" s="288">
        <v>228068.32</v>
      </c>
      <c r="I72" s="116"/>
      <c r="N72" s="620" t="s">
        <v>431</v>
      </c>
      <c r="O72" s="621"/>
      <c r="P72" s="41">
        <f>T30</f>
        <v>0</v>
      </c>
      <c r="Q72" s="626" t="s">
        <v>433</v>
      </c>
      <c r="R72" s="627"/>
      <c r="S72" s="627"/>
      <c r="T72" s="624">
        <f>H72</f>
        <v>228068.32</v>
      </c>
      <c r="U72" s="624"/>
    </row>
    <row r="73" spans="1:22" x14ac:dyDescent="0.25">
      <c r="G73" s="42" t="s">
        <v>12</v>
      </c>
      <c r="H73" s="114">
        <f>ROUND(C72/H72,6)</f>
        <v>3.4589999999999998E-3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783.0200000000001</v>
      </c>
      <c r="D75" s="575" t="s">
        <v>439</v>
      </c>
      <c r="E75" s="575"/>
      <c r="F75" s="575"/>
      <c r="G75" s="575"/>
      <c r="H75" s="287">
        <v>186715.72</v>
      </c>
      <c r="I75" s="113"/>
      <c r="N75" s="620" t="s">
        <v>429</v>
      </c>
      <c r="O75" s="621"/>
      <c r="P75" s="41">
        <f>P30</f>
        <v>0</v>
      </c>
      <c r="Q75" s="656" t="s">
        <v>434</v>
      </c>
      <c r="R75" s="657"/>
      <c r="S75" s="657"/>
      <c r="T75" s="624">
        <f>H75</f>
        <v>186715.72</v>
      </c>
      <c r="U75" s="624"/>
    </row>
    <row r="76" spans="1:22" x14ac:dyDescent="0.25">
      <c r="B76" s="69"/>
      <c r="G76" s="42" t="s">
        <v>12</v>
      </c>
      <c r="H76" s="114">
        <f>ROUND(C75/H75,6)</f>
        <v>4.1939999999999998E-3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783.0200000000001</v>
      </c>
      <c r="D78" s="603" t="s">
        <v>440</v>
      </c>
      <c r="E78" s="603"/>
      <c r="F78" s="603"/>
      <c r="G78" s="603"/>
      <c r="H78" s="287">
        <v>202339.94</v>
      </c>
      <c r="I78" s="113"/>
      <c r="N78" s="620" t="s">
        <v>429</v>
      </c>
      <c r="O78" s="621"/>
      <c r="P78" s="41">
        <f>P30</f>
        <v>0</v>
      </c>
      <c r="Q78" s="654" t="s">
        <v>435</v>
      </c>
      <c r="R78" s="655"/>
      <c r="S78" s="655"/>
      <c r="T78" s="624">
        <f>H78</f>
        <v>202339.94</v>
      </c>
      <c r="U78" s="624"/>
    </row>
    <row r="79" spans="1:22" x14ac:dyDescent="0.25">
      <c r="B79" s="69"/>
      <c r="G79" s="42" t="s">
        <v>12</v>
      </c>
      <c r="H79" s="114">
        <f>ROUND(C78/H78,6)</f>
        <v>3.8700000000000002E-3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783.0200000000001</v>
      </c>
      <c r="D81" s="575" t="s">
        <v>441</v>
      </c>
      <c r="E81" s="575"/>
      <c r="F81" s="575"/>
      <c r="G81" s="575"/>
      <c r="H81" s="287">
        <v>186371.69</v>
      </c>
      <c r="I81" s="113"/>
      <c r="N81" s="620" t="s">
        <v>442</v>
      </c>
      <c r="O81" s="621"/>
      <c r="P81" s="41">
        <f>P30</f>
        <v>0</v>
      </c>
      <c r="Q81" s="656" t="s">
        <v>443</v>
      </c>
      <c r="R81" s="657"/>
      <c r="S81" s="657"/>
      <c r="T81" s="624">
        <f>H81</f>
        <v>186371.69</v>
      </c>
      <c r="U81" s="624"/>
    </row>
    <row r="82" spans="1:21" x14ac:dyDescent="0.25">
      <c r="B82" s="69"/>
      <c r="G82" s="42" t="s">
        <v>12</v>
      </c>
      <c r="H82" s="114">
        <f>ROUND(C81/H81,6)</f>
        <v>4.2009999999999999E-3</v>
      </c>
      <c r="I82" s="115"/>
      <c r="N82" s="621"/>
      <c r="O82" s="621"/>
      <c r="P82" s="621"/>
      <c r="Q82" s="621"/>
      <c r="R82" s="621"/>
      <c r="S82" s="621"/>
      <c r="T82" s="625">
        <f>ROUND(P81/T81,6)</f>
        <v>0</v>
      </c>
      <c r="U82" s="625"/>
    </row>
    <row r="83" spans="1:21" x14ac:dyDescent="0.25">
      <c r="A83" s="242"/>
      <c r="G83" s="42"/>
      <c r="H83" s="114"/>
      <c r="I83" s="114"/>
      <c r="N83" s="459"/>
      <c r="O83" s="459"/>
      <c r="P83" s="459"/>
      <c r="Q83" s="459"/>
      <c r="R83" s="459"/>
      <c r="S83" s="459"/>
      <c r="T83" s="460"/>
      <c r="U83" s="460"/>
    </row>
    <row r="84" spans="1:21" x14ac:dyDescent="0.25">
      <c r="A84" s="242"/>
      <c r="G84" s="42"/>
      <c r="H84" s="114"/>
      <c r="I84" s="114"/>
      <c r="N84" s="459"/>
      <c r="O84" s="459"/>
      <c r="P84" s="459"/>
      <c r="Q84" s="459"/>
      <c r="R84" s="459"/>
      <c r="S84" s="459"/>
      <c r="T84" s="460"/>
      <c r="U84" s="460"/>
    </row>
    <row r="85" spans="1:21" x14ac:dyDescent="0.25">
      <c r="A85" s="455" t="s">
        <v>478</v>
      </c>
      <c r="D85" s="69"/>
      <c r="E85" s="43" t="s">
        <v>317</v>
      </c>
      <c r="F85" s="289">
        <v>44502646</v>
      </c>
      <c r="G85" s="37" t="s">
        <v>6</v>
      </c>
      <c r="H85" s="436">
        <f>H79</f>
        <v>3.8700000000000002E-3</v>
      </c>
      <c r="I85" s="101">
        <f>ROUND(F85*H85,2)</f>
        <v>172225.24</v>
      </c>
      <c r="N85" s="466" t="s">
        <v>478</v>
      </c>
      <c r="O85" s="51"/>
      <c r="P85" s="51"/>
      <c r="Q85" s="44"/>
      <c r="R85" s="433">
        <f>F85</f>
        <v>44502646</v>
      </c>
      <c r="S85" s="38" t="s">
        <v>6</v>
      </c>
      <c r="T85" s="435">
        <f>T79</f>
        <v>0</v>
      </c>
      <c r="U85" s="486">
        <f>ROUND(R85*T85,2)</f>
        <v>0</v>
      </c>
    </row>
    <row r="86" spans="1:21" x14ac:dyDescent="0.25">
      <c r="A86" s="413"/>
      <c r="D86" s="69"/>
      <c r="E86" s="43"/>
      <c r="F86" s="275"/>
      <c r="G86" s="37"/>
      <c r="H86" s="436"/>
      <c r="I86" s="101"/>
      <c r="N86" s="51"/>
      <c r="O86" s="51"/>
      <c r="P86" s="51"/>
      <c r="Q86" s="44"/>
      <c r="R86" s="434"/>
      <c r="S86" s="38"/>
      <c r="T86" s="435"/>
      <c r="U86" s="490"/>
    </row>
    <row r="87" spans="1:21" x14ac:dyDescent="0.25">
      <c r="A87" s="605" t="s">
        <v>71</v>
      </c>
      <c r="B87" s="596"/>
      <c r="C87" s="596"/>
      <c r="D87" s="69"/>
      <c r="E87" s="43"/>
      <c r="F87" s="275"/>
      <c r="G87" s="37"/>
      <c r="H87" s="436"/>
      <c r="I87" s="101"/>
      <c r="N87" s="620" t="s">
        <v>486</v>
      </c>
      <c r="O87" s="621"/>
      <c r="P87" s="621"/>
      <c r="Q87" s="51"/>
      <c r="R87" s="434"/>
      <c r="S87" s="51"/>
      <c r="T87" s="38"/>
      <c r="U87" s="491"/>
    </row>
    <row r="88" spans="1:21" x14ac:dyDescent="0.25">
      <c r="A88" s="605" t="s">
        <v>99</v>
      </c>
      <c r="B88" s="596"/>
      <c r="C88" s="596"/>
      <c r="D88" s="69"/>
      <c r="E88" s="43" t="s">
        <v>3</v>
      </c>
      <c r="F88" s="289">
        <v>0</v>
      </c>
      <c r="G88" s="37" t="s">
        <v>6</v>
      </c>
      <c r="H88" s="436">
        <f>H70</f>
        <v>3.8630000000000001E-3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275"/>
      <c r="G89" s="37"/>
      <c r="H89" s="436"/>
      <c r="I89" s="101"/>
      <c r="N89" s="448"/>
      <c r="O89" s="45"/>
      <c r="P89" s="45"/>
      <c r="Q89" s="44"/>
      <c r="R89" s="433"/>
      <c r="S89" s="38"/>
      <c r="T89" s="435"/>
      <c r="U89" s="486"/>
    </row>
    <row r="90" spans="1:21" x14ac:dyDescent="0.25">
      <c r="A90" s="464" t="s">
        <v>479</v>
      </c>
      <c r="D90" s="69"/>
      <c r="E90" s="43" t="s">
        <v>444</v>
      </c>
      <c r="F90" s="289">
        <v>16309168</v>
      </c>
      <c r="G90" s="37" t="s">
        <v>6</v>
      </c>
      <c r="H90" s="436">
        <f>H82</f>
        <v>4.2009999999999999E-3</v>
      </c>
      <c r="I90" s="101">
        <f>ROUND(F90*H90,2)</f>
        <v>68514.81</v>
      </c>
      <c r="N90" s="466" t="s">
        <v>479</v>
      </c>
      <c r="O90" s="51"/>
      <c r="P90" s="51"/>
      <c r="Q90" s="44"/>
      <c r="R90" s="433">
        <f>F90</f>
        <v>16309168</v>
      </c>
      <c r="S90" s="38" t="s">
        <v>6</v>
      </c>
      <c r="T90" s="435">
        <f>T82</f>
        <v>0</v>
      </c>
      <c r="U90" s="486">
        <f>ROUND(R90*T90,2)</f>
        <v>0</v>
      </c>
    </row>
    <row r="91" spans="1:21" x14ac:dyDescent="0.25">
      <c r="A91" s="413"/>
      <c r="D91" s="69"/>
      <c r="E91" s="43"/>
      <c r="F91" s="275"/>
      <c r="G91" s="37"/>
      <c r="H91" s="436"/>
      <c r="I91" s="101"/>
      <c r="N91" s="421"/>
      <c r="O91" s="51"/>
      <c r="P91" s="51"/>
      <c r="Q91" s="44"/>
      <c r="R91" s="433"/>
      <c r="S91" s="38"/>
      <c r="T91" s="435"/>
      <c r="U91" s="486"/>
    </row>
    <row r="92" spans="1:21" x14ac:dyDescent="0.25">
      <c r="A92" s="464" t="s">
        <v>480</v>
      </c>
      <c r="D92" s="69"/>
      <c r="E92" s="43" t="s">
        <v>3</v>
      </c>
      <c r="F92" s="289">
        <v>10148654</v>
      </c>
      <c r="G92" s="37" t="s">
        <v>6</v>
      </c>
      <c r="H92" s="436">
        <f>H76</f>
        <v>4.1939999999999998E-3</v>
      </c>
      <c r="I92" s="101">
        <f t="shared" ref="I92:I98" si="14">ROUND(F92*H92,2)</f>
        <v>42563.45</v>
      </c>
      <c r="N92" s="466" t="s">
        <v>480</v>
      </c>
      <c r="O92" s="51"/>
      <c r="P92" s="51"/>
      <c r="Q92" s="44"/>
      <c r="R92" s="433">
        <f t="shared" ref="R92:R96" si="15">F92</f>
        <v>10148654</v>
      </c>
      <c r="S92" s="38" t="s">
        <v>6</v>
      </c>
      <c r="T92" s="435">
        <f>T76</f>
        <v>0</v>
      </c>
      <c r="U92" s="486">
        <f>ROUND(R92*T92,2)</f>
        <v>0</v>
      </c>
    </row>
    <row r="93" spans="1:21" x14ac:dyDescent="0.25">
      <c r="A93" s="81"/>
      <c r="D93" s="69"/>
      <c r="E93" s="43"/>
      <c r="F93" s="275"/>
      <c r="G93" s="37"/>
      <c r="H93" s="436"/>
      <c r="I93" s="101"/>
      <c r="N93" s="397"/>
      <c r="O93" s="51"/>
      <c r="P93" s="51"/>
      <c r="Q93" s="44"/>
      <c r="R93" s="434"/>
      <c r="S93" s="38"/>
      <c r="T93" s="435"/>
      <c r="U93" s="490"/>
    </row>
    <row r="94" spans="1:21" x14ac:dyDescent="0.25">
      <c r="A94" s="602" t="s">
        <v>445</v>
      </c>
      <c r="B94" s="596"/>
      <c r="C94" s="596"/>
      <c r="D94" s="69"/>
      <c r="E94" s="43" t="s">
        <v>4</v>
      </c>
      <c r="F94" s="289">
        <v>238997674</v>
      </c>
      <c r="G94" s="37" t="s">
        <v>6</v>
      </c>
      <c r="H94" s="436">
        <f>H73</f>
        <v>3.4589999999999998E-3</v>
      </c>
      <c r="I94" s="101">
        <f t="shared" si="14"/>
        <v>826692.95</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275"/>
      <c r="G95" s="37"/>
      <c r="H95" s="436"/>
      <c r="I95" s="101"/>
      <c r="N95" s="45"/>
      <c r="O95" s="45"/>
      <c r="P95" s="45"/>
      <c r="Q95" s="44"/>
      <c r="R95" s="433"/>
      <c r="S95" s="38"/>
      <c r="T95" s="435"/>
      <c r="U95" s="486"/>
    </row>
    <row r="96" spans="1:21" x14ac:dyDescent="0.25">
      <c r="A96" s="602" t="s">
        <v>446</v>
      </c>
      <c r="B96" s="596"/>
      <c r="C96" s="596"/>
      <c r="D96" s="69"/>
      <c r="E96" s="43" t="s">
        <v>4</v>
      </c>
      <c r="F96" s="289">
        <v>0</v>
      </c>
      <c r="G96" s="37" t="s">
        <v>6</v>
      </c>
      <c r="H96" s="436">
        <f>H73</f>
        <v>3.4589999999999998E-3</v>
      </c>
      <c r="I96" s="101">
        <f t="shared" si="14"/>
        <v>0</v>
      </c>
      <c r="N96" s="620" t="s">
        <v>446</v>
      </c>
      <c r="O96" s="620"/>
      <c r="P96" s="620"/>
      <c r="Q96" s="44"/>
      <c r="R96" s="433">
        <f t="shared" si="15"/>
        <v>0</v>
      </c>
      <c r="S96" s="38" t="s">
        <v>6</v>
      </c>
      <c r="T96" s="435">
        <f>T73</f>
        <v>0</v>
      </c>
      <c r="U96" s="486">
        <f>ROUND(R96*T96,2)</f>
        <v>0</v>
      </c>
    </row>
    <row r="97" spans="1:21" x14ac:dyDescent="0.25">
      <c r="A97" s="539"/>
      <c r="B97" s="538"/>
      <c r="C97" s="538"/>
      <c r="D97" s="538"/>
      <c r="E97" s="536"/>
      <c r="F97" s="275"/>
      <c r="G97" s="537"/>
      <c r="H97" s="436"/>
      <c r="I97" s="101"/>
      <c r="N97" s="542"/>
      <c r="O97" s="542"/>
      <c r="P97" s="542"/>
      <c r="Q97" s="44"/>
      <c r="R97" s="544"/>
      <c r="S97" s="543"/>
      <c r="T97" s="435"/>
      <c r="U97" s="490"/>
    </row>
    <row r="98" spans="1:21" x14ac:dyDescent="0.25">
      <c r="A98" s="539" t="s">
        <v>525</v>
      </c>
      <c r="B98" s="538"/>
      <c r="C98" s="538"/>
      <c r="D98" s="538"/>
      <c r="E98" s="536" t="s">
        <v>3</v>
      </c>
      <c r="F98" s="289">
        <v>0</v>
      </c>
      <c r="G98" s="537" t="s">
        <v>6</v>
      </c>
      <c r="H98" s="436">
        <f>H70</f>
        <v>3.8630000000000001E-3</v>
      </c>
      <c r="I98" s="101">
        <f t="shared" si="14"/>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81"/>
      <c r="B100" s="69"/>
      <c r="C100" s="69"/>
      <c r="D100" s="69"/>
      <c r="E100" s="43"/>
      <c r="F100" s="275"/>
      <c r="G100" s="37"/>
      <c r="H100" s="436"/>
      <c r="I100" s="101"/>
      <c r="N100" s="397"/>
      <c r="O100" s="397"/>
      <c r="P100" s="397"/>
      <c r="Q100" s="44"/>
      <c r="R100" s="434"/>
      <c r="S100" s="38"/>
      <c r="T100" s="435"/>
      <c r="U100" s="103"/>
    </row>
    <row r="101" spans="1:21" ht="15" customHeight="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119" t="s">
        <v>448</v>
      </c>
      <c r="F103" s="120" t="s">
        <v>106</v>
      </c>
      <c r="G103" s="121"/>
      <c r="H103" s="121"/>
      <c r="I103" s="121"/>
      <c r="N103" s="651" t="s">
        <v>35</v>
      </c>
      <c r="O103" s="651"/>
      <c r="P103" s="652" t="s">
        <v>450</v>
      </c>
      <c r="Q103" s="653"/>
      <c r="R103" s="624" t="s">
        <v>31</v>
      </c>
      <c r="S103" s="624"/>
      <c r="T103" s="624"/>
      <c r="U103" s="624"/>
    </row>
    <row r="104" spans="1:21" x14ac:dyDescent="0.25">
      <c r="A104" s="26"/>
      <c r="B104" s="52" t="s">
        <v>105</v>
      </c>
      <c r="C104" s="614">
        <f>H14+H15+H20+H23+H26</f>
        <v>0</v>
      </c>
      <c r="D104" s="614"/>
      <c r="E104" s="46">
        <f>H8</f>
        <v>1.0442</v>
      </c>
      <c r="F104" s="290">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290">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788.94849999999997</v>
      </c>
      <c r="D106" s="614"/>
      <c r="E106" s="46">
        <f>H8</f>
        <v>1.0442</v>
      </c>
      <c r="F106" s="290">
        <v>906.93</v>
      </c>
      <c r="G106" s="39" t="s">
        <v>12</v>
      </c>
      <c r="H106" s="94">
        <f>ROUND(C106*E106*F106,2)</f>
        <v>747147.09</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788.94849999999997</v>
      </c>
      <c r="D107" s="604"/>
      <c r="E107" s="123"/>
      <c r="F107" s="123"/>
      <c r="G107" s="123"/>
      <c r="H107" s="124" t="s">
        <v>100</v>
      </c>
      <c r="I107" s="101">
        <f>IF(A1=75,0,H106+H105+H104)</f>
        <v>747147.09</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90" t="s">
        <v>2</v>
      </c>
      <c r="F112" s="43"/>
      <c r="G112" s="43"/>
      <c r="H112" s="43"/>
      <c r="I112" s="43"/>
      <c r="N112" s="45"/>
      <c r="O112" s="45"/>
      <c r="P112" s="45"/>
      <c r="Q112" s="125"/>
      <c r="R112" s="125"/>
      <c r="S112" s="125"/>
      <c r="T112" s="125"/>
      <c r="U112" s="103"/>
    </row>
    <row r="113" spans="1:21" x14ac:dyDescent="0.25">
      <c r="A113" s="575" t="s">
        <v>403</v>
      </c>
      <c r="B113" s="576"/>
      <c r="C113" s="143">
        <v>474</v>
      </c>
      <c r="D113" s="143">
        <v>457</v>
      </c>
      <c r="E113" s="116">
        <f>(C113+D113)/2</f>
        <v>465.5</v>
      </c>
      <c r="F113" s="126" t="s">
        <v>30</v>
      </c>
      <c r="G113" s="291">
        <v>536</v>
      </c>
      <c r="I113" s="101">
        <f>ROUND(G113*E113,2)</f>
        <v>249508</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291">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528</v>
      </c>
      <c r="B117" s="596"/>
      <c r="C117" s="596"/>
      <c r="D117" s="69"/>
      <c r="E117" s="39" t="s">
        <v>318</v>
      </c>
      <c r="F117" s="581"/>
      <c r="G117" s="581"/>
      <c r="H117" s="581"/>
      <c r="I117" s="581"/>
      <c r="N117" s="620" t="s">
        <v>529</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6415434.1400000006</v>
      </c>
      <c r="J128" s="251"/>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J129" s="251"/>
      <c r="N129" s="466"/>
      <c r="O129" s="465"/>
      <c r="P129" s="465"/>
      <c r="Q129" s="305"/>
      <c r="R129" s="305"/>
      <c r="S129" s="305"/>
      <c r="T129" s="305"/>
      <c r="U129" s="103"/>
    </row>
    <row r="130" spans="1:21" ht="16.5" thickBot="1" x14ac:dyDescent="0.3">
      <c r="A130" s="539" t="s">
        <v>457</v>
      </c>
      <c r="B130" s="26"/>
      <c r="C130" s="26"/>
      <c r="D130" s="26"/>
      <c r="E130" s="26"/>
      <c r="F130" s="26"/>
      <c r="G130" s="26"/>
      <c r="H130" s="26"/>
      <c r="I130" s="101">
        <f>I128-I53</f>
        <v>6177093.0500000007</v>
      </c>
      <c r="J130" s="251"/>
      <c r="N130" s="621" t="s">
        <v>457</v>
      </c>
      <c r="O130" s="621"/>
      <c r="P130" s="621"/>
      <c r="Q130" s="621"/>
      <c r="R130" s="621"/>
      <c r="S130" s="621"/>
      <c r="T130" s="621"/>
      <c r="U130" s="132">
        <f>U128-U53</f>
        <v>0</v>
      </c>
    </row>
    <row r="131" spans="1:21" ht="16.5" thickTop="1" x14ac:dyDescent="0.25">
      <c r="A131" s="26"/>
      <c r="B131" s="26"/>
      <c r="C131" s="26"/>
      <c r="D131" s="26"/>
      <c r="E131" s="26"/>
      <c r="F131" s="26"/>
      <c r="G131" s="26"/>
      <c r="H131" s="26"/>
      <c r="I131" s="101"/>
      <c r="J131" s="25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J132" s="251"/>
      <c r="N132" s="620" t="s">
        <v>531</v>
      </c>
      <c r="O132" s="621"/>
      <c r="P132" s="621"/>
      <c r="Q132" s="621"/>
      <c r="R132" s="621"/>
      <c r="S132" s="621"/>
      <c r="T132" s="621"/>
      <c r="U132" s="138"/>
    </row>
    <row r="133" spans="1:21" x14ac:dyDescent="0.25">
      <c r="A133" s="596" t="s">
        <v>70</v>
      </c>
      <c r="B133" s="596"/>
      <c r="C133" s="596"/>
      <c r="D133" s="596"/>
      <c r="E133" s="596"/>
      <c r="F133" s="596"/>
      <c r="G133" s="596"/>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6177093.0500000007</v>
      </c>
      <c r="I135" s="94">
        <f>ROUND(IF(E30=0,0,IF(E30&gt;250,-(((250/E30)*H135)*IF(G135="H",0.02,0.05)),IF(G135="H",-0.02*H135,-0.05*H135))),2)</f>
        <v>-39444.03</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6375990.1100000003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-6383102.5800000001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247</v>
      </c>
      <c r="B141" s="69"/>
      <c r="C141" s="69"/>
      <c r="D141" s="69"/>
      <c r="E141" s="69"/>
      <c r="F141" s="69"/>
      <c r="G141" s="69"/>
      <c r="H141" s="65"/>
      <c r="I141" s="101">
        <f>I137+I139</f>
        <v>-7112.4699999997392</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248</v>
      </c>
      <c r="B143" s="69"/>
      <c r="C143" s="69"/>
      <c r="D143" s="69"/>
      <c r="E143" s="69"/>
      <c r="F143" s="69"/>
      <c r="G143" s="69"/>
      <c r="H143" s="65"/>
      <c r="I143" s="272">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-7112.47</v>
      </c>
      <c r="K145" s="432"/>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84097.83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53" t="s">
        <v>7</v>
      </c>
      <c r="B151" s="353"/>
      <c r="C151" s="353"/>
      <c r="D151" s="353"/>
      <c r="E151" s="353"/>
      <c r="F151" s="353"/>
      <c r="G151" s="353"/>
      <c r="H151" s="353"/>
      <c r="I151" s="353"/>
      <c r="J151" s="134"/>
      <c r="N151" s="73"/>
      <c r="O151" s="73"/>
      <c r="P151" s="73"/>
      <c r="Q151" s="73"/>
      <c r="R151" s="73"/>
      <c r="S151" s="73"/>
      <c r="T151" s="73"/>
      <c r="U151" s="73"/>
    </row>
    <row r="152" spans="1:21" ht="12.75" customHeight="1" x14ac:dyDescent="0.25">
      <c r="A152" s="354" t="s">
        <v>260</v>
      </c>
      <c r="B152" s="355"/>
      <c r="C152" s="355"/>
      <c r="D152" s="355"/>
      <c r="E152" s="355"/>
      <c r="F152" s="355"/>
      <c r="G152" s="355"/>
      <c r="H152" s="355"/>
      <c r="I152" s="355"/>
      <c r="J152" s="77"/>
      <c r="K152" s="338"/>
      <c r="L152" s="76"/>
      <c r="M152" s="76"/>
      <c r="N152" s="73"/>
      <c r="O152" s="73"/>
      <c r="P152" s="73"/>
      <c r="Q152" s="73"/>
      <c r="R152" s="73"/>
      <c r="S152" s="73"/>
      <c r="T152" s="73"/>
      <c r="U152" s="73"/>
    </row>
    <row r="153" spans="1:21" ht="12.75" customHeight="1" x14ac:dyDescent="0.25">
      <c r="A153" s="360" t="s">
        <v>394</v>
      </c>
      <c r="B153" s="355"/>
      <c r="C153" s="355"/>
      <c r="D153" s="355"/>
      <c r="E153" s="355"/>
      <c r="F153" s="355"/>
      <c r="G153" s="355"/>
      <c r="H153" s="355"/>
      <c r="I153" s="355"/>
      <c r="J153" s="77"/>
      <c r="K153" s="338"/>
      <c r="L153" s="76"/>
      <c r="M153" s="76"/>
      <c r="N153" s="73"/>
      <c r="O153" s="73"/>
      <c r="P153" s="73"/>
      <c r="Q153" s="73"/>
      <c r="R153" s="73"/>
      <c r="S153" s="73"/>
      <c r="T153" s="73"/>
      <c r="U153" s="73"/>
    </row>
    <row r="154" spans="1:21" ht="12.75" customHeight="1" x14ac:dyDescent="0.25">
      <c r="A154" s="357" t="s">
        <v>395</v>
      </c>
      <c r="B154" s="356"/>
      <c r="C154" s="356"/>
      <c r="D154" s="356"/>
      <c r="E154" s="356"/>
      <c r="F154" s="356"/>
      <c r="G154" s="356"/>
      <c r="H154" s="356"/>
      <c r="I154" s="356"/>
      <c r="J154" s="76"/>
      <c r="K154" s="76"/>
      <c r="L154" s="76"/>
      <c r="M154" s="76"/>
      <c r="N154" s="73"/>
      <c r="O154" s="73"/>
      <c r="P154" s="73"/>
      <c r="Q154" s="73"/>
      <c r="R154" s="73"/>
      <c r="S154" s="73"/>
      <c r="T154" s="73"/>
      <c r="U154" s="73"/>
    </row>
    <row r="155" spans="1:21" s="76" customFormat="1" ht="12.75" customHeight="1" x14ac:dyDescent="0.2">
      <c r="A155" s="357" t="s">
        <v>396</v>
      </c>
      <c r="B155" s="356"/>
      <c r="C155" s="356"/>
      <c r="D155" s="356"/>
      <c r="E155" s="356"/>
      <c r="F155" s="356"/>
      <c r="G155" s="356"/>
      <c r="H155" s="356"/>
      <c r="I155" s="356"/>
      <c r="N155" s="645"/>
      <c r="O155" s="645"/>
      <c r="P155" s="645"/>
      <c r="Q155" s="645"/>
      <c r="R155" s="645"/>
      <c r="S155" s="645"/>
      <c r="T155" s="645"/>
      <c r="U155" s="645"/>
    </row>
    <row r="156" spans="1:21" s="76" customFormat="1" ht="12.75" customHeight="1" x14ac:dyDescent="0.2">
      <c r="A156" s="357" t="s">
        <v>397</v>
      </c>
      <c r="B156" s="356"/>
      <c r="C156" s="356"/>
      <c r="D156" s="356"/>
      <c r="E156" s="356"/>
      <c r="F156" s="356"/>
      <c r="G156" s="356"/>
      <c r="H156" s="356"/>
      <c r="I156" s="356"/>
      <c r="N156" s="73"/>
      <c r="O156" s="73"/>
      <c r="P156" s="73"/>
      <c r="Q156" s="73"/>
      <c r="R156" s="73"/>
      <c r="S156" s="73"/>
      <c r="T156" s="73"/>
      <c r="U156" s="73"/>
    </row>
    <row r="157" spans="1:21" s="76" customFormat="1" ht="12.75" customHeight="1" x14ac:dyDescent="0.2">
      <c r="A157" s="357" t="s">
        <v>398</v>
      </c>
      <c r="B157" s="356"/>
      <c r="C157" s="356"/>
      <c r="D157" s="356"/>
      <c r="E157" s="356"/>
      <c r="F157" s="356"/>
      <c r="G157" s="356"/>
      <c r="H157" s="356"/>
      <c r="I157" s="356"/>
      <c r="N157" s="78"/>
      <c r="O157" s="79"/>
      <c r="P157" s="79"/>
      <c r="Q157" s="79"/>
      <c r="R157" s="79"/>
      <c r="S157" s="79"/>
      <c r="T157" s="79"/>
      <c r="U157" s="79"/>
    </row>
    <row r="158" spans="1:21" s="76" customFormat="1" ht="12.75" customHeight="1" x14ac:dyDescent="0.2">
      <c r="A158" s="357" t="s">
        <v>399</v>
      </c>
      <c r="B158" s="356"/>
      <c r="C158" s="356"/>
      <c r="D158" s="356"/>
      <c r="E158" s="356"/>
      <c r="F158" s="356"/>
      <c r="G158" s="356"/>
      <c r="H158" s="356"/>
      <c r="I158" s="356"/>
      <c r="N158" s="78"/>
    </row>
    <row r="159" spans="1:21" s="76" customFormat="1" ht="12.75" customHeight="1" x14ac:dyDescent="0.2">
      <c r="A159" s="357" t="s">
        <v>401</v>
      </c>
      <c r="B159" s="356"/>
      <c r="C159" s="356"/>
      <c r="D159" s="356"/>
      <c r="E159" s="356"/>
      <c r="F159" s="356"/>
      <c r="G159" s="356"/>
      <c r="H159" s="356"/>
      <c r="I159" s="356"/>
      <c r="K159" s="356"/>
      <c r="N159" s="78"/>
    </row>
    <row r="160" spans="1:21" s="76" customFormat="1" ht="12.75" customHeight="1" x14ac:dyDescent="0.2">
      <c r="A160" s="362" t="s">
        <v>400</v>
      </c>
      <c r="B160" s="356"/>
      <c r="C160" s="356"/>
      <c r="D160" s="356"/>
      <c r="E160" s="356"/>
      <c r="F160" s="356"/>
      <c r="G160" s="356"/>
      <c r="H160" s="356"/>
      <c r="I160" s="356"/>
      <c r="N160" s="78"/>
    </row>
    <row r="161" spans="1:14" s="76" customFormat="1" ht="12.75" customHeight="1" x14ac:dyDescent="0.2">
      <c r="A161" s="357" t="s">
        <v>402</v>
      </c>
      <c r="B161" s="356"/>
      <c r="C161" s="356"/>
      <c r="D161" s="356"/>
      <c r="E161" s="356"/>
      <c r="F161" s="356"/>
      <c r="G161" s="356"/>
      <c r="H161" s="356"/>
      <c r="I161" s="356"/>
      <c r="N161" s="78"/>
    </row>
    <row r="162" spans="1:14" s="76" customFormat="1" ht="12.75" customHeight="1" x14ac:dyDescent="0.2">
      <c r="A162" s="361" t="s">
        <v>261</v>
      </c>
      <c r="B162" s="356"/>
      <c r="C162" s="356"/>
      <c r="D162" s="356"/>
      <c r="E162" s="356"/>
      <c r="F162" s="356"/>
      <c r="G162" s="356"/>
      <c r="H162" s="356"/>
      <c r="I162" s="356"/>
      <c r="N162" s="78"/>
    </row>
    <row r="163" spans="1:14" s="76" customFormat="1" ht="12.75" customHeight="1" x14ac:dyDescent="0.2">
      <c r="A163" s="357" t="s">
        <v>405</v>
      </c>
      <c r="B163" s="356"/>
      <c r="C163" s="356"/>
      <c r="D163" s="356"/>
      <c r="E163" s="356"/>
      <c r="F163" s="356"/>
      <c r="G163" s="356"/>
      <c r="H163" s="356"/>
      <c r="I163" s="356"/>
      <c r="N163" s="78"/>
    </row>
    <row r="164" spans="1:14" s="76" customFormat="1" ht="12.75" customHeight="1" x14ac:dyDescent="0.2">
      <c r="A164" s="357" t="s">
        <v>288</v>
      </c>
      <c r="B164" s="356"/>
      <c r="C164" s="356"/>
      <c r="D164" s="356"/>
      <c r="E164" s="356"/>
      <c r="F164" s="356"/>
      <c r="G164" s="356"/>
      <c r="H164" s="356"/>
      <c r="I164" s="356"/>
      <c r="N164" s="78"/>
    </row>
    <row r="165" spans="1:14" s="76" customFormat="1" ht="12.75" customHeight="1" x14ac:dyDescent="0.2">
      <c r="A165" s="357" t="s">
        <v>407</v>
      </c>
      <c r="B165" s="356"/>
      <c r="C165" s="356"/>
      <c r="D165" s="356"/>
      <c r="E165" s="356"/>
      <c r="F165" s="356"/>
      <c r="G165" s="356"/>
      <c r="H165" s="356"/>
      <c r="I165" s="356"/>
      <c r="N165" s="78"/>
    </row>
    <row r="166" spans="1:14" s="76" customFormat="1" ht="12.75" customHeight="1" x14ac:dyDescent="0.2">
      <c r="A166" s="362" t="s">
        <v>406</v>
      </c>
      <c r="B166" s="356"/>
      <c r="C166" s="356"/>
      <c r="D166" s="356"/>
      <c r="E166" s="356"/>
      <c r="F166" s="356"/>
      <c r="G166" s="356"/>
      <c r="H166" s="356"/>
      <c r="I166" s="356"/>
      <c r="N166" s="78"/>
    </row>
    <row r="167" spans="1:14" s="76" customFormat="1" ht="12.75" customHeight="1" x14ac:dyDescent="0.2">
      <c r="A167" s="357" t="s">
        <v>408</v>
      </c>
      <c r="B167" s="356"/>
      <c r="C167" s="356"/>
      <c r="D167" s="356"/>
      <c r="E167" s="356"/>
      <c r="F167" s="356"/>
      <c r="G167" s="356"/>
      <c r="H167" s="356"/>
      <c r="I167" s="356"/>
      <c r="N167" s="78"/>
    </row>
    <row r="168" spans="1:14" s="76" customFormat="1" ht="12.75" customHeight="1" x14ac:dyDescent="0.2">
      <c r="A168" s="362" t="s">
        <v>262</v>
      </c>
      <c r="B168" s="356"/>
      <c r="C168" s="356"/>
      <c r="D168" s="356"/>
      <c r="E168" s="356"/>
      <c r="F168" s="356"/>
      <c r="G168" s="356"/>
      <c r="H168" s="356"/>
      <c r="I168" s="356"/>
      <c r="N168" s="78"/>
    </row>
    <row r="169" spans="1:14" s="76" customFormat="1" ht="12.75" customHeight="1" x14ac:dyDescent="0.2">
      <c r="A169" s="357" t="s">
        <v>410</v>
      </c>
      <c r="B169" s="356"/>
      <c r="C169" s="356"/>
      <c r="D169" s="356"/>
      <c r="E169" s="356"/>
      <c r="F169" s="356"/>
      <c r="G169" s="356"/>
      <c r="H169" s="356"/>
      <c r="I169" s="356"/>
      <c r="N169" s="78"/>
    </row>
    <row r="170" spans="1:14" s="76" customFormat="1" ht="12.75" customHeight="1" x14ac:dyDescent="0.2">
      <c r="A170" s="362" t="s">
        <v>409</v>
      </c>
      <c r="B170" s="356"/>
      <c r="C170" s="356"/>
      <c r="D170" s="356"/>
      <c r="E170" s="356"/>
      <c r="F170" s="356"/>
      <c r="G170" s="356"/>
      <c r="H170" s="356"/>
      <c r="I170" s="356"/>
      <c r="N170" s="78"/>
    </row>
    <row r="171" spans="1:14" s="76" customFormat="1" ht="12.75" customHeight="1" x14ac:dyDescent="0.2">
      <c r="A171" s="357"/>
      <c r="B171" s="356"/>
      <c r="C171" s="356"/>
      <c r="D171" s="356"/>
      <c r="E171" s="356"/>
      <c r="F171" s="356"/>
      <c r="G171" s="356"/>
      <c r="H171" s="356"/>
      <c r="I171" s="356"/>
      <c r="N171" s="78"/>
    </row>
    <row r="172" spans="1:14" s="76" customFormat="1" ht="12.75" customHeight="1" x14ac:dyDescent="0.2">
      <c r="A172" s="365" t="s">
        <v>67</v>
      </c>
      <c r="B172" s="356"/>
      <c r="C172" s="356"/>
      <c r="D172" s="356"/>
      <c r="E172" s="356"/>
      <c r="F172" s="356"/>
      <c r="G172" s="356"/>
      <c r="H172" s="356"/>
      <c r="I172" s="356"/>
      <c r="N172" s="78"/>
    </row>
    <row r="173" spans="1:14" s="76" customFormat="1" ht="12.75" customHeight="1" x14ac:dyDescent="0.2">
      <c r="A173" s="358" t="s">
        <v>263</v>
      </c>
      <c r="B173" s="359"/>
      <c r="C173" s="359"/>
      <c r="D173" s="359"/>
      <c r="E173" s="359"/>
      <c r="F173" s="359"/>
      <c r="G173" s="359"/>
      <c r="H173" s="359"/>
      <c r="I173" s="359"/>
      <c r="N173" s="78"/>
    </row>
    <row r="174" spans="1:14" s="76" customFormat="1" ht="12.75" customHeight="1" x14ac:dyDescent="0.2">
      <c r="A174" s="363" t="s">
        <v>319</v>
      </c>
      <c r="B174" s="366"/>
      <c r="C174" s="366"/>
      <c r="D174" s="366"/>
      <c r="E174" s="366"/>
      <c r="F174" s="366"/>
      <c r="G174" s="366"/>
      <c r="H174" s="366"/>
      <c r="I174" s="366"/>
      <c r="N174" s="78"/>
    </row>
    <row r="175" spans="1:14" s="76" customFormat="1" ht="12.75" customHeight="1" x14ac:dyDescent="0.2">
      <c r="A175" s="363" t="s">
        <v>411</v>
      </c>
      <c r="B175" s="366"/>
      <c r="C175" s="366"/>
      <c r="D175" s="366"/>
      <c r="E175" s="366"/>
      <c r="F175" s="366"/>
      <c r="G175" s="366"/>
      <c r="H175" s="366"/>
      <c r="I175" s="366"/>
      <c r="N175" s="78"/>
    </row>
    <row r="176" spans="1:14" s="76" customFormat="1" ht="12.75" customHeight="1" x14ac:dyDescent="0.2">
      <c r="A176" s="363" t="s">
        <v>412</v>
      </c>
      <c r="B176" s="366"/>
      <c r="C176" s="366"/>
      <c r="D176" s="366"/>
      <c r="E176" s="366"/>
      <c r="F176" s="366"/>
      <c r="G176" s="366"/>
      <c r="H176" s="366"/>
      <c r="I176" s="366"/>
      <c r="N176" s="78"/>
    </row>
    <row r="177" spans="1:21" s="76" customFormat="1" ht="12.75" customHeight="1" x14ac:dyDescent="0.2">
      <c r="A177" s="358"/>
      <c r="B177" s="366"/>
      <c r="C177" s="366"/>
      <c r="D177" s="366"/>
      <c r="E177" s="366"/>
      <c r="F177" s="366"/>
      <c r="G177" s="366"/>
      <c r="H177" s="366"/>
      <c r="I177" s="366"/>
      <c r="N177" s="78"/>
    </row>
    <row r="178" spans="1:21" s="76" customFormat="1" ht="12.75" customHeight="1" x14ac:dyDescent="0.25">
      <c r="A178" s="358" t="s">
        <v>320</v>
      </c>
      <c r="B178" s="359"/>
      <c r="C178" s="359"/>
      <c r="D178" s="359"/>
      <c r="E178" s="359"/>
      <c r="F178" s="359"/>
      <c r="G178" s="359"/>
      <c r="H178" s="359"/>
      <c r="I178" s="359"/>
      <c r="J178" s="3"/>
      <c r="K178" s="3"/>
      <c r="L178" s="3"/>
      <c r="M178" s="3"/>
      <c r="N178" s="78"/>
    </row>
    <row r="179" spans="1:21" s="76" customFormat="1" ht="12.75" customHeight="1" x14ac:dyDescent="0.25">
      <c r="A179" s="363" t="s">
        <v>319</v>
      </c>
      <c r="B179" s="359"/>
      <c r="C179" s="359"/>
      <c r="D179" s="359"/>
      <c r="E179" s="359"/>
      <c r="F179" s="359"/>
      <c r="G179" s="359"/>
      <c r="H179" s="359"/>
      <c r="I179" s="359"/>
      <c r="J179" s="3"/>
      <c r="K179" s="3"/>
      <c r="L179" s="3"/>
      <c r="M179" s="3"/>
      <c r="N179" s="78"/>
    </row>
    <row r="180" spans="1:21" s="76" customFormat="1" ht="12.75" customHeight="1" x14ac:dyDescent="0.25">
      <c r="A180" s="363" t="s">
        <v>321</v>
      </c>
      <c r="B180" s="359"/>
      <c r="C180" s="359"/>
      <c r="D180" s="359"/>
      <c r="E180" s="359"/>
      <c r="F180" s="359"/>
      <c r="G180" s="359"/>
      <c r="H180" s="359"/>
      <c r="I180" s="359"/>
      <c r="J180" s="3"/>
      <c r="K180" s="3"/>
      <c r="L180" s="3"/>
      <c r="M180" s="3"/>
      <c r="N180" s="78"/>
    </row>
    <row r="181" spans="1:21" s="76" customFormat="1" ht="12.75" customHeight="1" x14ac:dyDescent="0.25">
      <c r="A181" s="359"/>
      <c r="B181" s="359"/>
      <c r="C181" s="359"/>
      <c r="D181" s="359"/>
      <c r="E181" s="359"/>
      <c r="F181" s="359"/>
      <c r="G181" s="359"/>
      <c r="H181" s="359"/>
      <c r="I181" s="359"/>
      <c r="J181" s="3"/>
      <c r="K181" s="3"/>
      <c r="L181" s="3"/>
      <c r="M181" s="3"/>
      <c r="N181" s="78"/>
    </row>
    <row r="182" spans="1:21" s="76" customFormat="1" ht="12.75" customHeight="1" x14ac:dyDescent="0.2">
      <c r="A182" s="365" t="s">
        <v>68</v>
      </c>
      <c r="B182" s="365"/>
      <c r="C182" s="365"/>
      <c r="D182" s="365"/>
      <c r="E182" s="365"/>
      <c r="F182" s="365"/>
      <c r="G182" s="365"/>
      <c r="H182" s="365"/>
      <c r="I182" s="365"/>
      <c r="N182" s="78"/>
    </row>
    <row r="183" spans="1:21" ht="12.75" customHeight="1" x14ac:dyDescent="0.25">
      <c r="A183" s="358" t="s">
        <v>264</v>
      </c>
      <c r="B183" s="359"/>
      <c r="C183" s="359"/>
      <c r="D183" s="359"/>
      <c r="E183" s="359"/>
      <c r="F183" s="359"/>
      <c r="G183" s="359"/>
      <c r="H183" s="359"/>
      <c r="I183" s="359"/>
      <c r="J183" s="76"/>
      <c r="K183" s="76"/>
      <c r="L183" s="76"/>
      <c r="M183" s="76"/>
      <c r="N183" s="78"/>
      <c r="O183" s="76"/>
      <c r="P183" s="76"/>
      <c r="Q183" s="76"/>
      <c r="R183" s="76"/>
      <c r="S183" s="76"/>
      <c r="T183" s="76"/>
      <c r="U183" s="76"/>
    </row>
    <row r="184" spans="1:21" ht="12.75" customHeight="1" x14ac:dyDescent="0.25">
      <c r="A184" s="363" t="s">
        <v>265</v>
      </c>
      <c r="B184" s="366"/>
      <c r="C184" s="366"/>
      <c r="D184" s="366"/>
      <c r="E184" s="366"/>
      <c r="F184" s="366"/>
      <c r="G184" s="366"/>
      <c r="H184" s="366"/>
      <c r="I184" s="366"/>
      <c r="J184" s="76"/>
      <c r="K184" s="76"/>
      <c r="L184" s="76"/>
      <c r="M184" s="76"/>
      <c r="N184" s="78"/>
      <c r="O184" s="76"/>
      <c r="P184" s="76"/>
      <c r="Q184" s="76"/>
      <c r="R184" s="76"/>
      <c r="S184" s="76"/>
      <c r="T184" s="76"/>
      <c r="U184" s="76"/>
    </row>
    <row r="185" spans="1:21" s="76" customFormat="1" ht="12.75" customHeight="1" x14ac:dyDescent="0.25">
      <c r="A185" s="359" t="s">
        <v>11</v>
      </c>
      <c r="B185" s="359"/>
      <c r="C185" s="359"/>
      <c r="D185" s="359"/>
      <c r="E185" s="359"/>
      <c r="F185" s="359"/>
      <c r="G185" s="359"/>
      <c r="H185" s="359"/>
      <c r="I185" s="359"/>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9">
    <mergeCell ref="A49:H50"/>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N16:O16"/>
    <mergeCell ref="P16:Q16"/>
    <mergeCell ref="R16:S16"/>
    <mergeCell ref="N13:O13"/>
    <mergeCell ref="P13:Q13"/>
    <mergeCell ref="R13:S13"/>
    <mergeCell ref="N14:O14"/>
    <mergeCell ref="P14:Q14"/>
    <mergeCell ref="R14:S14"/>
    <mergeCell ref="T8:U8"/>
    <mergeCell ref="R11:S11"/>
    <mergeCell ref="N12:O12"/>
    <mergeCell ref="P12:Q12"/>
    <mergeCell ref="R12:S12"/>
    <mergeCell ref="N15:O15"/>
    <mergeCell ref="P15:Q15"/>
    <mergeCell ref="R15:S15"/>
    <mergeCell ref="T9:U9"/>
    <mergeCell ref="P8:Q8"/>
    <mergeCell ref="R8:S8"/>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3"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topLeftCell="A18"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110</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304.20999999999998</v>
      </c>
      <c r="D18" s="143">
        <v>281.82</v>
      </c>
      <c r="E18" s="116">
        <f t="shared" si="1"/>
        <v>586.03</v>
      </c>
      <c r="F18" s="679">
        <f>'1461'!F18:G18</f>
        <v>0.98799999999999999</v>
      </c>
      <c r="G18" s="679"/>
      <c r="H18" s="80">
        <f t="shared" si="2"/>
        <v>578.99760000000003</v>
      </c>
      <c r="I18" s="101">
        <f t="shared" si="3"/>
        <v>3107425.73</v>
      </c>
      <c r="N18" s="621" t="s">
        <v>24</v>
      </c>
      <c r="O18" s="621"/>
      <c r="P18" s="662">
        <f t="shared" si="0"/>
        <v>0</v>
      </c>
      <c r="Q18" s="662"/>
      <c r="R18" s="667">
        <v>1</v>
      </c>
      <c r="S18" s="667"/>
      <c r="T18" s="95">
        <f t="shared" si="4"/>
        <v>0</v>
      </c>
      <c r="U18" s="486">
        <f t="shared" si="5"/>
        <v>0</v>
      </c>
    </row>
    <row r="19" spans="1:21" x14ac:dyDescent="0.25">
      <c r="A19" s="596" t="s">
        <v>25</v>
      </c>
      <c r="B19" s="596"/>
      <c r="C19" s="143">
        <v>115.22</v>
      </c>
      <c r="D19" s="143">
        <v>111.22</v>
      </c>
      <c r="E19" s="116">
        <f t="shared" si="1"/>
        <v>226.44</v>
      </c>
      <c r="F19" s="679">
        <f>'1461'!F19:G19</f>
        <v>0.98799999999999999</v>
      </c>
      <c r="G19" s="679"/>
      <c r="H19" s="80">
        <f t="shared" si="2"/>
        <v>223.7227</v>
      </c>
      <c r="I19" s="101">
        <f t="shared" si="3"/>
        <v>1200698.72</v>
      </c>
      <c r="J19" s="65" t="str">
        <f>IF(ROUND(E19,2)=ROUND(SUM(E63:E65),2)," ","CHECK 4-8 LINES BELOW")</f>
        <v xml:space="preserve"> </v>
      </c>
      <c r="N19" s="621" t="s">
        <v>25</v>
      </c>
      <c r="O19" s="621"/>
      <c r="P19" s="662">
        <f t="shared" si="0"/>
        <v>0</v>
      </c>
      <c r="Q19" s="662"/>
      <c r="R19" s="667">
        <v>1</v>
      </c>
      <c r="S19" s="667"/>
      <c r="T19" s="95">
        <f t="shared" si="4"/>
        <v>0</v>
      </c>
      <c r="U19" s="485">
        <f t="shared" si="5"/>
        <v>0</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0</v>
      </c>
      <c r="D22" s="143">
        <v>0</v>
      </c>
      <c r="E22" s="116">
        <f t="shared" si="1"/>
        <v>0</v>
      </c>
      <c r="F22" s="679">
        <f>'1461'!F22:G22</f>
        <v>3.706</v>
      </c>
      <c r="G22" s="679"/>
      <c r="H22" s="80">
        <f t="shared" si="2"/>
        <v>0</v>
      </c>
      <c r="I22" s="101">
        <f t="shared" si="3"/>
        <v>0</v>
      </c>
      <c r="N22" s="621" t="s">
        <v>81</v>
      </c>
      <c r="O22" s="621"/>
      <c r="P22" s="662">
        <f t="shared" si="0"/>
        <v>0</v>
      </c>
      <c r="Q22" s="662"/>
      <c r="R22" s="667">
        <v>1</v>
      </c>
      <c r="S22" s="667"/>
      <c r="T22" s="95">
        <f t="shared" si="4"/>
        <v>0</v>
      </c>
      <c r="U22" s="486">
        <f t="shared" si="5"/>
        <v>0</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1.73</v>
      </c>
      <c r="D28" s="143">
        <v>1.48</v>
      </c>
      <c r="E28" s="116">
        <f t="shared" si="1"/>
        <v>3.21</v>
      </c>
      <c r="F28" s="679">
        <f>'1461'!F28:G28</f>
        <v>1.208</v>
      </c>
      <c r="G28" s="679"/>
      <c r="H28" s="80">
        <f t="shared" si="2"/>
        <v>3.8776999999999999</v>
      </c>
      <c r="I28" s="101">
        <f t="shared" si="3"/>
        <v>20811.25</v>
      </c>
      <c r="N28" s="621" t="s">
        <v>87</v>
      </c>
      <c r="O28" s="621"/>
      <c r="P28" s="662">
        <f t="shared" si="0"/>
        <v>0</v>
      </c>
      <c r="Q28" s="662"/>
      <c r="R28" s="667">
        <v>1</v>
      </c>
      <c r="S28" s="667"/>
      <c r="T28" s="95">
        <f t="shared" si="4"/>
        <v>0</v>
      </c>
      <c r="U28" s="486">
        <f t="shared" si="5"/>
        <v>0</v>
      </c>
    </row>
    <row r="29" spans="1:21" x14ac:dyDescent="0.25">
      <c r="A29" s="596" t="s">
        <v>88</v>
      </c>
      <c r="B29" s="596"/>
      <c r="C29" s="110">
        <v>113.96</v>
      </c>
      <c r="D29" s="110">
        <v>123.86</v>
      </c>
      <c r="E29" s="154">
        <f t="shared" si="1"/>
        <v>237.82</v>
      </c>
      <c r="F29" s="679">
        <f>'1461'!F29:G29</f>
        <v>1.0720000000000001</v>
      </c>
      <c r="G29" s="679"/>
      <c r="H29" s="93">
        <f t="shared" si="2"/>
        <v>254.94300000000001</v>
      </c>
      <c r="I29" s="94">
        <f t="shared" si="3"/>
        <v>1368255.13</v>
      </c>
      <c r="N29" s="636" t="s">
        <v>88</v>
      </c>
      <c r="O29" s="636"/>
      <c r="P29" s="662">
        <f t="shared" si="0"/>
        <v>0</v>
      </c>
      <c r="Q29" s="662"/>
      <c r="R29" s="663">
        <v>1</v>
      </c>
      <c r="S29" s="663"/>
      <c r="T29" s="95">
        <f t="shared" si="4"/>
        <v>0</v>
      </c>
      <c r="U29" s="486">
        <f t="shared" si="5"/>
        <v>0</v>
      </c>
    </row>
    <row r="30" spans="1:21" x14ac:dyDescent="0.25">
      <c r="A30" s="608" t="s">
        <v>5</v>
      </c>
      <c r="B30" s="608"/>
      <c r="C30" s="94">
        <f>SUM(C14:C29)</f>
        <v>535.12</v>
      </c>
      <c r="D30" s="94">
        <f>SUM(D14:D29)</f>
        <v>518.38</v>
      </c>
      <c r="E30" s="94">
        <f>SUM(E14:E29)</f>
        <v>1053.5</v>
      </c>
      <c r="F30" s="600"/>
      <c r="G30" s="600"/>
      <c r="H30" s="99">
        <f>SUM(H14:H29)</f>
        <v>1061.5410000000002</v>
      </c>
      <c r="I30" s="94">
        <f>SUM(I14:I29)</f>
        <v>5697190.8300000001</v>
      </c>
      <c r="N30" s="664" t="s">
        <v>5</v>
      </c>
      <c r="O30" s="664"/>
      <c r="P30" s="665">
        <f>SUM(P14:P29)</f>
        <v>0</v>
      </c>
      <c r="Q30" s="665"/>
      <c r="R30" s="637"/>
      <c r="S30" s="637"/>
      <c r="T30" s="100">
        <f>SUM(T14:T29)</f>
        <v>0</v>
      </c>
      <c r="U30" s="486">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1061.5410000000002</v>
      </c>
      <c r="F46" s="34"/>
      <c r="G46" s="106"/>
      <c r="H46" s="107" t="s">
        <v>98</v>
      </c>
      <c r="I46" s="94">
        <f>SUM(I44,I30)</f>
        <v>5697190.8300000001</v>
      </c>
      <c r="N46" s="623" t="s">
        <v>44</v>
      </c>
      <c r="O46" s="623"/>
      <c r="P46" s="623"/>
      <c r="Q46" s="623"/>
      <c r="R46" s="35">
        <f>R44+T30</f>
        <v>0</v>
      </c>
      <c r="S46" s="637" t="s">
        <v>42</v>
      </c>
      <c r="T46" s="637"/>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6076313.9100000001</v>
      </c>
      <c r="G51" s="109" t="s">
        <v>6</v>
      </c>
      <c r="H51" s="415">
        <v>4.5199999999999997E-2</v>
      </c>
      <c r="I51" s="101">
        <f>ROUND(F51*H51,2)</f>
        <v>274649.39</v>
      </c>
      <c r="N51" s="420"/>
      <c r="O51" s="421" t="s">
        <v>422</v>
      </c>
      <c r="P51" s="28"/>
      <c r="Q51" s="44" t="s">
        <v>423</v>
      </c>
      <c r="R51" s="422">
        <f>U30</f>
        <v>0</v>
      </c>
      <c r="S51" s="423" t="s">
        <v>6</v>
      </c>
      <c r="T51" s="424">
        <v>4.5199999999999997E-2</v>
      </c>
      <c r="U51" s="416">
        <f>ROUND(R51*T51,2)</f>
        <v>0</v>
      </c>
    </row>
    <row r="52" spans="1:22" x14ac:dyDescent="0.25">
      <c r="A52" s="26"/>
      <c r="B52" s="81" t="s">
        <v>424</v>
      </c>
      <c r="C52" s="26"/>
      <c r="D52" s="26"/>
      <c r="E52" s="43" t="s">
        <v>423</v>
      </c>
      <c r="F52" s="414">
        <v>6076313.9100000001</v>
      </c>
      <c r="G52" s="109" t="s">
        <v>6</v>
      </c>
      <c r="H52" s="415">
        <v>1.41E-2</v>
      </c>
      <c r="I52" s="101">
        <f>ROUND(F52*H52,2)</f>
        <v>85676.03</v>
      </c>
      <c r="N52" s="28"/>
      <c r="O52" s="397" t="s">
        <v>424</v>
      </c>
      <c r="P52" s="28"/>
      <c r="Q52" s="44" t="s">
        <v>423</v>
      </c>
      <c r="R52" s="422">
        <f>U30</f>
        <v>0</v>
      </c>
      <c r="S52" s="423" t="s">
        <v>6</v>
      </c>
      <c r="T52" s="424">
        <v>1.41E-2</v>
      </c>
      <c r="U52" s="425">
        <f>ROUND(R52*T52,2)</f>
        <v>0</v>
      </c>
    </row>
    <row r="53" spans="1:22" x14ac:dyDescent="0.25">
      <c r="A53" s="26"/>
      <c r="B53" s="81" t="s">
        <v>425</v>
      </c>
      <c r="C53" s="26"/>
      <c r="D53" s="26"/>
      <c r="E53" s="43"/>
      <c r="F53" s="414"/>
      <c r="G53" s="109"/>
      <c r="H53" s="415"/>
      <c r="I53" s="97">
        <f>SUM(I51:I52)</f>
        <v>360325.42000000004</v>
      </c>
      <c r="N53" s="28"/>
      <c r="O53" s="397" t="s">
        <v>425</v>
      </c>
      <c r="P53" s="28"/>
      <c r="Q53" s="44"/>
      <c r="R53" s="422"/>
      <c r="S53" s="423"/>
      <c r="T53" s="424"/>
      <c r="U53" s="416">
        <f>SUM(U51:U52)</f>
        <v>0</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2" si="10">IF(D$72=0,C57*2,C57+D57)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106.65</v>
      </c>
      <c r="D63" s="143">
        <v>103.82</v>
      </c>
      <c r="E63" s="116">
        <f>IF(D$66=0,C63*2,C63+D63)</f>
        <v>210.47</v>
      </c>
      <c r="F63" s="457" t="s">
        <v>14</v>
      </c>
      <c r="G63" s="456">
        <v>251</v>
      </c>
      <c r="H63" s="470">
        <f>'1461'!H63</f>
        <v>835</v>
      </c>
      <c r="I63" s="101">
        <f t="shared" si="11"/>
        <v>175742.45</v>
      </c>
      <c r="N63" s="639"/>
      <c r="O63" s="639"/>
      <c r="P63" s="642"/>
      <c r="Q63" s="642"/>
      <c r="R63" s="40" t="s">
        <v>14</v>
      </c>
      <c r="S63" s="462">
        <v>251</v>
      </c>
      <c r="T63" s="473">
        <f t="shared" si="12"/>
        <v>835</v>
      </c>
      <c r="U63" s="487">
        <f t="shared" si="13"/>
        <v>0</v>
      </c>
      <c r="V63" s="438"/>
    </row>
    <row r="64" spans="1:22" x14ac:dyDescent="0.25">
      <c r="A64" s="607"/>
      <c r="B64" s="607"/>
      <c r="C64" s="143">
        <v>8.07</v>
      </c>
      <c r="D64" s="143">
        <v>7.4</v>
      </c>
      <c r="E64" s="116">
        <f>IF(D$66=0,C64*2,C64+D64)</f>
        <v>15.47</v>
      </c>
      <c r="F64" s="457" t="s">
        <v>14</v>
      </c>
      <c r="G64" s="456">
        <v>252</v>
      </c>
      <c r="H64" s="470">
        <f>'1461'!H64</f>
        <v>3168</v>
      </c>
      <c r="I64" s="101">
        <f t="shared" si="11"/>
        <v>49008.959999999999</v>
      </c>
      <c r="N64" s="639"/>
      <c r="O64" s="639"/>
      <c r="P64" s="642"/>
      <c r="Q64" s="642"/>
      <c r="R64" s="40" t="s">
        <v>14</v>
      </c>
      <c r="S64" s="462">
        <v>252</v>
      </c>
      <c r="T64" s="473">
        <f t="shared" si="12"/>
        <v>3168</v>
      </c>
      <c r="U64" s="487">
        <f t="shared" si="13"/>
        <v>0</v>
      </c>
      <c r="V64" s="438"/>
    </row>
    <row r="65" spans="1:22" ht="16.5" thickBot="1" x14ac:dyDescent="0.3">
      <c r="A65" s="607"/>
      <c r="B65" s="607"/>
      <c r="C65" s="143">
        <v>0.5</v>
      </c>
      <c r="D65" s="143">
        <v>0</v>
      </c>
      <c r="E65" s="116">
        <f>IF(D$66=0,C65*2,C65+D65)</f>
        <v>0.5</v>
      </c>
      <c r="F65" s="457" t="s">
        <v>14</v>
      </c>
      <c r="G65" s="456">
        <v>253</v>
      </c>
      <c r="H65" s="470">
        <f>'1461'!H65</f>
        <v>6685</v>
      </c>
      <c r="I65" s="101">
        <f t="shared" si="11"/>
        <v>3342.5</v>
      </c>
      <c r="N65" s="639"/>
      <c r="O65" s="639"/>
      <c r="P65" s="643"/>
      <c r="Q65" s="643"/>
      <c r="R65" s="40" t="s">
        <v>14</v>
      </c>
      <c r="S65" s="462">
        <v>253</v>
      </c>
      <c r="T65" s="473">
        <f t="shared" si="12"/>
        <v>6685</v>
      </c>
      <c r="U65" s="488">
        <f t="shared" si="13"/>
        <v>0</v>
      </c>
      <c r="V65" s="438"/>
    </row>
    <row r="66" spans="1:22" ht="16.5" thickBot="1" x14ac:dyDescent="0.3">
      <c r="A66" s="453"/>
      <c r="C66" s="97">
        <f>SUM(C57:C65)</f>
        <v>115.22</v>
      </c>
      <c r="D66" s="97">
        <f>SUM(D57:D65)</f>
        <v>111.22</v>
      </c>
      <c r="E66" s="97">
        <f>SUM(E57:E65)</f>
        <v>226.44</v>
      </c>
      <c r="F66" s="608" t="s">
        <v>471</v>
      </c>
      <c r="G66" s="608"/>
      <c r="H66" s="608"/>
      <c r="I66" s="97">
        <f>SUM(I57:I65)</f>
        <v>228093.91</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1053.5</v>
      </c>
      <c r="D69" s="583" t="s">
        <v>437</v>
      </c>
      <c r="E69" s="583"/>
      <c r="F69" s="583"/>
      <c r="G69" s="583"/>
      <c r="H69" s="299">
        <f>'1461'!H69</f>
        <v>202683.97</v>
      </c>
      <c r="I69" s="113"/>
      <c r="N69" s="620" t="s">
        <v>430</v>
      </c>
      <c r="O69" s="621"/>
      <c r="P69" s="41">
        <f>P30</f>
        <v>0</v>
      </c>
      <c r="Q69" s="626" t="s">
        <v>432</v>
      </c>
      <c r="R69" s="627"/>
      <c r="S69" s="627"/>
      <c r="T69" s="624">
        <f>H69</f>
        <v>202683.97</v>
      </c>
      <c r="U69" s="624"/>
    </row>
    <row r="70" spans="1:22" x14ac:dyDescent="0.25">
      <c r="B70" s="69"/>
      <c r="G70" s="42" t="s">
        <v>12</v>
      </c>
      <c r="H70" s="114">
        <f>ROUND(C69/H69,6)</f>
        <v>5.1980000000000004E-3</v>
      </c>
      <c r="I70" s="115"/>
      <c r="N70" s="621"/>
      <c r="O70" s="621"/>
      <c r="P70" s="621"/>
      <c r="Q70" s="621"/>
      <c r="R70" s="621"/>
      <c r="S70" s="621"/>
      <c r="T70" s="625">
        <f>ROUND(P69/T69,6)</f>
        <v>0</v>
      </c>
      <c r="U70" s="625"/>
    </row>
    <row r="71" spans="1:22" x14ac:dyDescent="0.25">
      <c r="A71" s="455" t="s">
        <v>474</v>
      </c>
      <c r="N71" s="466" t="s">
        <v>482</v>
      </c>
      <c r="O71" s="51"/>
      <c r="P71" s="51"/>
      <c r="Q71" s="51"/>
      <c r="R71" s="51"/>
      <c r="S71" s="51"/>
      <c r="T71" s="51"/>
      <c r="U71" s="51"/>
    </row>
    <row r="72" spans="1:22" x14ac:dyDescent="0.25">
      <c r="A72" s="602" t="s">
        <v>427</v>
      </c>
      <c r="B72" s="596"/>
      <c r="C72" s="112">
        <f>H30</f>
        <v>1061.5410000000002</v>
      </c>
      <c r="D72" s="583" t="s">
        <v>438</v>
      </c>
      <c r="E72" s="583"/>
      <c r="F72" s="583"/>
      <c r="G72" s="583"/>
      <c r="H72" s="300">
        <f>'1461'!H72</f>
        <v>228068.32</v>
      </c>
      <c r="I72" s="116"/>
      <c r="N72" s="620" t="s">
        <v>431</v>
      </c>
      <c r="O72" s="621"/>
      <c r="P72" s="41">
        <f>T30</f>
        <v>0</v>
      </c>
      <c r="Q72" s="626" t="s">
        <v>433</v>
      </c>
      <c r="R72" s="627"/>
      <c r="S72" s="627"/>
      <c r="T72" s="624">
        <f>H72</f>
        <v>228068.32</v>
      </c>
      <c r="U72" s="624"/>
    </row>
    <row r="73" spans="1:22" x14ac:dyDescent="0.25">
      <c r="G73" s="42" t="s">
        <v>12</v>
      </c>
      <c r="H73" s="114">
        <f>ROUND(C72/H72,6)</f>
        <v>4.6540000000000002E-3</v>
      </c>
      <c r="I73" s="114"/>
      <c r="N73" s="621"/>
      <c r="O73" s="621"/>
      <c r="P73" s="621"/>
      <c r="Q73" s="621"/>
      <c r="R73" s="621"/>
      <c r="S73" s="621"/>
      <c r="T73" s="625">
        <f>ROUND(P72/T72,6)</f>
        <v>0</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1053.5</v>
      </c>
      <c r="D75" s="575" t="s">
        <v>439</v>
      </c>
      <c r="E75" s="575"/>
      <c r="F75" s="575"/>
      <c r="G75" s="575"/>
      <c r="H75" s="299">
        <f>'1461'!H75</f>
        <v>186715.72</v>
      </c>
      <c r="I75" s="113"/>
      <c r="N75" s="620" t="s">
        <v>429</v>
      </c>
      <c r="O75" s="621"/>
      <c r="P75" s="41">
        <f>P30</f>
        <v>0</v>
      </c>
      <c r="Q75" s="656" t="s">
        <v>434</v>
      </c>
      <c r="R75" s="657"/>
      <c r="S75" s="657"/>
      <c r="T75" s="624">
        <f>H75</f>
        <v>186715.72</v>
      </c>
      <c r="U75" s="624"/>
    </row>
    <row r="76" spans="1:22" x14ac:dyDescent="0.25">
      <c r="B76" s="69"/>
      <c r="G76" s="42" t="s">
        <v>12</v>
      </c>
      <c r="H76" s="114">
        <f>ROUND(C75/H75,6)</f>
        <v>5.6420000000000003E-3</v>
      </c>
      <c r="I76" s="115"/>
      <c r="N76" s="621"/>
      <c r="O76" s="621"/>
      <c r="P76" s="621"/>
      <c r="Q76" s="621"/>
      <c r="R76" s="621"/>
      <c r="S76" s="621"/>
      <c r="T76" s="625">
        <f>ROUND(P75/T75,6)</f>
        <v>0</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1053.5</v>
      </c>
      <c r="D78" s="603" t="s">
        <v>440</v>
      </c>
      <c r="E78" s="603"/>
      <c r="F78" s="603"/>
      <c r="G78" s="603"/>
      <c r="H78" s="299">
        <f>'1461'!H78</f>
        <v>202339.94</v>
      </c>
      <c r="I78" s="113"/>
      <c r="N78" s="620" t="s">
        <v>429</v>
      </c>
      <c r="O78" s="621"/>
      <c r="P78" s="41">
        <f>P30</f>
        <v>0</v>
      </c>
      <c r="Q78" s="654" t="s">
        <v>435</v>
      </c>
      <c r="R78" s="655"/>
      <c r="S78" s="655"/>
      <c r="T78" s="624">
        <f>H78</f>
        <v>202339.94</v>
      </c>
      <c r="U78" s="624"/>
    </row>
    <row r="79" spans="1:22" x14ac:dyDescent="0.25">
      <c r="B79" s="69"/>
      <c r="G79" s="42" t="s">
        <v>12</v>
      </c>
      <c r="H79" s="114">
        <f>ROUND(C78/H78,6)</f>
        <v>5.2069999999999998E-3</v>
      </c>
      <c r="I79" s="115"/>
      <c r="N79" s="621"/>
      <c r="O79" s="621"/>
      <c r="P79" s="621"/>
      <c r="Q79" s="621"/>
      <c r="R79" s="621"/>
      <c r="S79" s="621"/>
      <c r="T79" s="625">
        <f>ROUND(P78/T78,6)</f>
        <v>0</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1053.5</v>
      </c>
      <c r="D81" s="575" t="s">
        <v>441</v>
      </c>
      <c r="E81" s="575"/>
      <c r="F81" s="575"/>
      <c r="G81" s="575"/>
      <c r="H81" s="299">
        <f>'1461'!H81</f>
        <v>186371.69</v>
      </c>
      <c r="I81" s="113"/>
      <c r="N81" s="620" t="s">
        <v>442</v>
      </c>
      <c r="O81" s="621"/>
      <c r="P81" s="41">
        <f>P30</f>
        <v>0</v>
      </c>
      <c r="Q81" s="656" t="s">
        <v>443</v>
      </c>
      <c r="R81" s="657"/>
      <c r="S81" s="657"/>
      <c r="T81" s="624">
        <f>H81</f>
        <v>186371.69</v>
      </c>
      <c r="U81" s="624"/>
    </row>
    <row r="82" spans="1:21" x14ac:dyDescent="0.25">
      <c r="B82" s="69"/>
      <c r="G82" s="42" t="s">
        <v>12</v>
      </c>
      <c r="H82" s="114">
        <f>ROUND(C81/H81,6)</f>
        <v>5.653E-3</v>
      </c>
      <c r="I82" s="115"/>
      <c r="N82" s="621"/>
      <c r="O82" s="621"/>
      <c r="P82" s="621"/>
      <c r="Q82" s="621"/>
      <c r="R82" s="621"/>
      <c r="S82" s="621"/>
      <c r="T82" s="625">
        <f>ROUND(P81/T81,6)</f>
        <v>0</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5.2069999999999998E-3</v>
      </c>
      <c r="I85" s="101">
        <f>ROUND(F85*H85,2)</f>
        <v>231725.28</v>
      </c>
      <c r="N85" s="466" t="s">
        <v>478</v>
      </c>
      <c r="O85" s="51"/>
      <c r="P85" s="51"/>
      <c r="Q85" s="44"/>
      <c r="R85" s="433">
        <f>F85</f>
        <v>44502646</v>
      </c>
      <c r="S85" s="38" t="s">
        <v>6</v>
      </c>
      <c r="T85" s="435">
        <f>T79</f>
        <v>0</v>
      </c>
      <c r="U85" s="486">
        <f>ROUND(R85*T85,2)</f>
        <v>0</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5.1980000000000004E-3</v>
      </c>
      <c r="I88" s="101">
        <f>ROUND(F88*H88,2)</f>
        <v>0</v>
      </c>
      <c r="N88" s="658" t="s">
        <v>99</v>
      </c>
      <c r="O88" s="621"/>
      <c r="P88" s="621"/>
      <c r="Q88" s="44"/>
      <c r="R88" s="433">
        <f>F88</f>
        <v>0</v>
      </c>
      <c r="S88" s="38" t="s">
        <v>6</v>
      </c>
      <c r="T88" s="435">
        <f>T70</f>
        <v>0</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5.653E-3</v>
      </c>
      <c r="I90" s="101">
        <f>ROUND(F90*H90,2)</f>
        <v>92195.73</v>
      </c>
      <c r="N90" s="466" t="s">
        <v>479</v>
      </c>
      <c r="O90" s="51"/>
      <c r="P90" s="51"/>
      <c r="Q90" s="44"/>
      <c r="R90" s="433">
        <f>F90</f>
        <v>16309168</v>
      </c>
      <c r="S90" s="38" t="s">
        <v>6</v>
      </c>
      <c r="T90" s="435">
        <f>T82</f>
        <v>0</v>
      </c>
      <c r="U90" s="486">
        <f>ROUND(R90*T90,2)</f>
        <v>0</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5.6420000000000003E-3</v>
      </c>
      <c r="I92" s="101">
        <f t="shared" ref="I92:I96" si="14">ROUND(F92*H92,2)</f>
        <v>57258.71</v>
      </c>
      <c r="N92" s="466" t="s">
        <v>480</v>
      </c>
      <c r="O92" s="51"/>
      <c r="P92" s="51"/>
      <c r="Q92" s="44"/>
      <c r="R92" s="433">
        <f t="shared" ref="R92:R96" si="15">F92</f>
        <v>10148654</v>
      </c>
      <c r="S92" s="38" t="s">
        <v>6</v>
      </c>
      <c r="T92" s="435">
        <f>T76</f>
        <v>0</v>
      </c>
      <c r="U92" s="486">
        <f>ROUND(R92*T92,2)</f>
        <v>0</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4.6540000000000002E-3</v>
      </c>
      <c r="I94" s="101">
        <f t="shared" si="14"/>
        <v>1112295.17</v>
      </c>
      <c r="N94" s="621" t="s">
        <v>445</v>
      </c>
      <c r="O94" s="621"/>
      <c r="P94" s="621"/>
      <c r="Q94" s="44"/>
      <c r="R94" s="433">
        <f t="shared" si="15"/>
        <v>238997674</v>
      </c>
      <c r="S94" s="38" t="s">
        <v>6</v>
      </c>
      <c r="T94" s="435">
        <f>T73</f>
        <v>0</v>
      </c>
      <c r="U94" s="486">
        <f>ROUND(R94*T94,2)</f>
        <v>0</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4.6540000000000002E-3</v>
      </c>
      <c r="I96" s="101">
        <f t="shared" si="14"/>
        <v>0</v>
      </c>
      <c r="N96" s="620" t="s">
        <v>446</v>
      </c>
      <c r="O96" s="621"/>
      <c r="P96" s="621"/>
      <c r="Q96" s="44"/>
      <c r="R96" s="433">
        <f t="shared" si="15"/>
        <v>0</v>
      </c>
      <c r="S96" s="38" t="s">
        <v>6</v>
      </c>
      <c r="T96" s="435">
        <f>T73</f>
        <v>0</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5.1980000000000004E-3</v>
      </c>
      <c r="I98" s="101">
        <f t="shared" ref="I98" si="16">ROUND(F98*H98,2)</f>
        <v>0</v>
      </c>
      <c r="N98" s="542" t="s">
        <v>525</v>
      </c>
      <c r="O98" s="542"/>
      <c r="P98" s="542"/>
      <c r="Q98" s="44"/>
      <c r="R98" s="545">
        <f>F98</f>
        <v>0</v>
      </c>
      <c r="S98" s="543" t="s">
        <v>6</v>
      </c>
      <c r="T98" s="435">
        <f>T70</f>
        <v>0</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1061.5410000000002</v>
      </c>
      <c r="D106" s="614"/>
      <c r="E106" s="46">
        <f>H8</f>
        <v>1.0442</v>
      </c>
      <c r="F106" s="302">
        <f>'1461'!F106</f>
        <v>906.93</v>
      </c>
      <c r="G106" s="39" t="s">
        <v>12</v>
      </c>
      <c r="H106" s="94">
        <f>ROUND(C106*E106*F106,2)</f>
        <v>1005296.64</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1061.5410000000002</v>
      </c>
      <c r="D107" s="604"/>
      <c r="E107" s="123"/>
      <c r="F107" s="123"/>
      <c r="G107" s="123"/>
      <c r="H107" s="124" t="s">
        <v>100</v>
      </c>
      <c r="I107" s="101">
        <f>IF(A1=75,0,H106+H105+H104)</f>
        <v>1005296.64</v>
      </c>
      <c r="N107" s="56" t="s">
        <v>89</v>
      </c>
      <c r="O107" s="57">
        <f>SUM(O104:O106)</f>
        <v>0</v>
      </c>
      <c r="P107" s="632" t="s">
        <v>16</v>
      </c>
      <c r="Q107" s="633"/>
      <c r="R107" s="633"/>
      <c r="S107" s="633"/>
      <c r="T107" s="633"/>
      <c r="U107" s="486">
        <f>IF(N1=75,0,T106+T105+T104)</f>
        <v>0</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8"/>
      <c r="D110" s="8"/>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710</v>
      </c>
      <c r="D113" s="143">
        <v>686</v>
      </c>
      <c r="E113" s="116">
        <f>(C113+D113)/2</f>
        <v>698</v>
      </c>
      <c r="F113" s="126" t="s">
        <v>30</v>
      </c>
      <c r="G113" s="303">
        <f>'1461'!G113</f>
        <v>536</v>
      </c>
      <c r="I113" s="101">
        <f>ROUND(G113*E113,2)</f>
        <v>374128</v>
      </c>
      <c r="N113" s="650" t="s">
        <v>52</v>
      </c>
      <c r="O113" s="650"/>
      <c r="P113" s="630">
        <f>IF(H133=1,E113,0)</f>
        <v>0</v>
      </c>
      <c r="Q113" s="630"/>
      <c r="R113" s="630"/>
      <c r="S113" s="83" t="s">
        <v>30</v>
      </c>
      <c r="T113" s="58">
        <f>G113</f>
        <v>536</v>
      </c>
      <c r="U113" s="486">
        <f>ROUND(T113*P113,2)</f>
        <v>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8798184.2700000014</v>
      </c>
      <c r="N128" s="466"/>
      <c r="O128" s="465"/>
      <c r="P128" s="465"/>
      <c r="Q128" s="305"/>
      <c r="R128" s="305"/>
      <c r="S128" s="305"/>
      <c r="T128" s="305"/>
      <c r="U128" s="493">
        <f>SUM(U30,U85,U88,U90,U92,U94,U96,U107,U113,U114,U124,U126)</f>
        <v>0</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8437858.8500000015</v>
      </c>
      <c r="N130" s="623" t="s">
        <v>33</v>
      </c>
      <c r="O130" s="623"/>
      <c r="P130" s="623"/>
      <c r="Q130" s="623"/>
      <c r="R130" s="623"/>
      <c r="S130" s="623"/>
      <c r="T130" s="62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458</v>
      </c>
      <c r="B132" s="596"/>
      <c r="C132" s="596"/>
      <c r="D132" s="596"/>
      <c r="E132" s="596"/>
      <c r="F132" s="596"/>
      <c r="G132" s="596"/>
      <c r="H132" s="81" t="s">
        <v>351</v>
      </c>
      <c r="I132" s="134"/>
      <c r="N132" s="28"/>
      <c r="O132" s="28"/>
      <c r="P132" s="28"/>
      <c r="Q132" s="28"/>
      <c r="R132" s="28"/>
      <c r="S132" s="28"/>
      <c r="T132" s="28"/>
      <c r="U132" s="138"/>
    </row>
    <row r="133" spans="1:21" x14ac:dyDescent="0.25">
      <c r="A133" s="596" t="s">
        <v>70</v>
      </c>
      <c r="B133" s="596"/>
      <c r="C133" s="596"/>
      <c r="D133" s="596"/>
      <c r="E133" s="596"/>
      <c r="F133" s="596"/>
      <c r="G133" s="596"/>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8437858.8500000015</v>
      </c>
      <c r="I135" s="94">
        <f>ROUND(IF(E30=0,0,IF(E30&gt;250,-(((250/E30)*H135)*IF(G135="H",0.02,0.05)),IF(G135="H",-0.02*H135,-0.05*H135))),2)</f>
        <v>-40046.79</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8758137.4800000023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-8744937.0300000012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13200.450000001118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13200.45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128710.38700000002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54" t="str">
        <f>'1461'!A152</f>
        <v>(a) Additional FTE includes FTE earned through Advanced Placement, International Baccalaureate, Advanced International Certificate of Education, Industry Certified Career</v>
      </c>
      <c r="B152" s="355"/>
      <c r="C152" s="355"/>
      <c r="D152" s="355"/>
      <c r="E152" s="355"/>
      <c r="F152" s="355"/>
      <c r="G152" s="355"/>
      <c r="H152" s="355"/>
      <c r="I152" s="355"/>
      <c r="J152" s="77"/>
      <c r="K152" s="76"/>
      <c r="L152" s="76"/>
      <c r="M152" s="76"/>
      <c r="N152" s="73"/>
      <c r="O152" s="73"/>
      <c r="P152" s="73"/>
      <c r="Q152" s="73"/>
      <c r="R152" s="73"/>
      <c r="S152" s="73"/>
      <c r="T152" s="73"/>
      <c r="U152" s="73"/>
    </row>
    <row r="153" spans="1:21" ht="15.75" customHeight="1" x14ac:dyDescent="0.25">
      <c r="A153" s="360" t="s">
        <v>394</v>
      </c>
      <c r="B153" s="355"/>
      <c r="C153" s="355"/>
      <c r="D153" s="355"/>
      <c r="E153" s="355"/>
      <c r="F153" s="355"/>
      <c r="G153" s="355"/>
      <c r="H153" s="355"/>
      <c r="I153" s="355"/>
      <c r="J153" s="77"/>
      <c r="K153" s="76"/>
      <c r="L153" s="76"/>
      <c r="M153" s="76"/>
      <c r="N153" s="73"/>
      <c r="O153" s="73"/>
      <c r="P153" s="73"/>
      <c r="Q153" s="73"/>
      <c r="R153" s="73"/>
      <c r="S153" s="73"/>
      <c r="T153" s="73"/>
      <c r="U153" s="73"/>
    </row>
    <row r="154" spans="1:21" x14ac:dyDescent="0.25">
      <c r="A154" s="354" t="s">
        <v>395</v>
      </c>
      <c r="B154" s="356"/>
      <c r="C154" s="356"/>
      <c r="D154" s="356"/>
      <c r="E154" s="356"/>
      <c r="F154" s="356"/>
      <c r="G154" s="356"/>
      <c r="H154" s="356"/>
      <c r="I154" s="356"/>
      <c r="J154" s="76"/>
      <c r="K154" s="76"/>
      <c r="L154" s="76"/>
      <c r="M154" s="76"/>
      <c r="N154" s="73"/>
      <c r="O154" s="73"/>
      <c r="P154" s="73"/>
      <c r="Q154" s="73"/>
      <c r="R154" s="73"/>
      <c r="S154" s="73"/>
      <c r="T154" s="73"/>
      <c r="U154" s="73"/>
    </row>
    <row r="155" spans="1:21" s="76" customFormat="1" x14ac:dyDescent="0.2">
      <c r="A155" s="354" t="s">
        <v>396</v>
      </c>
      <c r="B155" s="356"/>
      <c r="C155" s="356"/>
      <c r="D155" s="356"/>
      <c r="E155" s="356"/>
      <c r="F155" s="356"/>
      <c r="G155" s="356"/>
      <c r="H155" s="356"/>
      <c r="I155" s="356"/>
      <c r="N155" s="645"/>
      <c r="O155" s="645"/>
      <c r="P155" s="645"/>
      <c r="Q155" s="645"/>
      <c r="R155" s="645"/>
      <c r="S155" s="645"/>
      <c r="T155" s="645"/>
      <c r="U155" s="645"/>
    </row>
    <row r="156" spans="1:21" s="76" customFormat="1" x14ac:dyDescent="0.2">
      <c r="A156" s="354" t="s">
        <v>397</v>
      </c>
      <c r="B156" s="356"/>
      <c r="C156" s="356"/>
      <c r="D156" s="356"/>
      <c r="E156" s="356"/>
      <c r="F156" s="356"/>
      <c r="G156" s="356"/>
      <c r="H156" s="356"/>
      <c r="I156" s="356"/>
      <c r="N156" s="73"/>
      <c r="O156" s="73"/>
      <c r="P156" s="73"/>
      <c r="Q156" s="73"/>
      <c r="R156" s="73"/>
      <c r="S156" s="73"/>
      <c r="T156" s="73"/>
      <c r="U156" s="73"/>
    </row>
    <row r="157" spans="1:21" s="76" customFormat="1" x14ac:dyDescent="0.2">
      <c r="A157" s="354" t="s">
        <v>398</v>
      </c>
      <c r="B157" s="356"/>
      <c r="C157" s="356"/>
      <c r="D157" s="356"/>
      <c r="E157" s="356"/>
      <c r="F157" s="356"/>
      <c r="G157" s="356"/>
      <c r="H157" s="356"/>
      <c r="I157" s="356"/>
      <c r="N157" s="78"/>
      <c r="O157" s="79"/>
      <c r="P157" s="79"/>
      <c r="Q157" s="79"/>
      <c r="R157" s="79"/>
      <c r="S157" s="79"/>
      <c r="T157" s="79"/>
      <c r="U157" s="79"/>
    </row>
    <row r="158" spans="1:21" s="76" customFormat="1" x14ac:dyDescent="0.2">
      <c r="A158" s="354" t="s">
        <v>399</v>
      </c>
      <c r="B158" s="356"/>
      <c r="C158" s="356"/>
      <c r="D158" s="356"/>
      <c r="E158" s="356"/>
      <c r="F158" s="356"/>
      <c r="G158" s="356"/>
      <c r="H158" s="356"/>
      <c r="I158" s="356"/>
      <c r="N158" s="78"/>
    </row>
    <row r="159" spans="1:21" s="76" customFormat="1" x14ac:dyDescent="0.2">
      <c r="A159" s="354" t="s">
        <v>401</v>
      </c>
      <c r="B159" s="356"/>
      <c r="C159" s="356"/>
      <c r="D159" s="356"/>
      <c r="E159" s="356"/>
      <c r="F159" s="356"/>
      <c r="G159" s="356"/>
      <c r="H159" s="356"/>
      <c r="I159" s="356"/>
      <c r="N159" s="78"/>
    </row>
    <row r="160" spans="1:21" s="76" customFormat="1" x14ac:dyDescent="0.2">
      <c r="A160" s="360" t="s">
        <v>400</v>
      </c>
      <c r="B160" s="356"/>
      <c r="C160" s="356"/>
      <c r="D160" s="356"/>
      <c r="E160" s="356"/>
      <c r="F160" s="356"/>
      <c r="G160" s="356"/>
      <c r="H160" s="356"/>
      <c r="I160" s="356"/>
      <c r="N160" s="78"/>
    </row>
    <row r="161" spans="1:14" s="76" customFormat="1" x14ac:dyDescent="0.2">
      <c r="A161" s="354" t="s">
        <v>402</v>
      </c>
      <c r="B161" s="356"/>
      <c r="C161" s="356"/>
      <c r="D161" s="356"/>
      <c r="E161" s="356"/>
      <c r="F161" s="356"/>
      <c r="G161" s="356"/>
      <c r="H161" s="356"/>
      <c r="I161" s="356"/>
      <c r="N161" s="78"/>
    </row>
    <row r="162" spans="1:14" s="76" customFormat="1" x14ac:dyDescent="0.2">
      <c r="A162" s="360" t="str">
        <f>'1461'!A162</f>
        <v>"All Adjusted ESE Riders" should include only ESE Riders.</v>
      </c>
      <c r="B162" s="356"/>
      <c r="C162" s="356"/>
      <c r="D162" s="356"/>
      <c r="E162" s="356"/>
      <c r="F162" s="356"/>
      <c r="G162" s="356"/>
      <c r="H162" s="356"/>
      <c r="I162" s="356"/>
      <c r="N162" s="78"/>
    </row>
    <row r="163" spans="1:14" s="76" customFormat="1" x14ac:dyDescent="0.2">
      <c r="A163" s="354" t="s">
        <v>405</v>
      </c>
      <c r="B163" s="356"/>
      <c r="C163" s="356"/>
      <c r="D163" s="356"/>
      <c r="E163" s="356"/>
      <c r="F163" s="356"/>
      <c r="G163" s="356"/>
      <c r="H163" s="356"/>
      <c r="I163" s="356"/>
      <c r="N163" s="78"/>
    </row>
    <row r="164" spans="1:14" s="76" customFormat="1" ht="15.75" customHeight="1" x14ac:dyDescent="0.2">
      <c r="A164" s="354" t="str">
        <f>'1461'!A164</f>
        <v xml:space="preserve">(j) Funding based on student eligibility and meals provided, if participating in the National School Lunch Program. </v>
      </c>
      <c r="B164" s="356"/>
      <c r="C164" s="356"/>
      <c r="D164" s="356"/>
      <c r="E164" s="356"/>
      <c r="F164" s="356"/>
      <c r="G164" s="356"/>
      <c r="H164" s="356"/>
      <c r="I164" s="356"/>
      <c r="N164" s="78"/>
    </row>
    <row r="165" spans="1:14" s="76" customFormat="1" ht="15.75" customHeight="1" x14ac:dyDescent="0.2">
      <c r="A165" s="354" t="s">
        <v>407</v>
      </c>
      <c r="B165" s="356"/>
      <c r="C165" s="356"/>
      <c r="D165" s="356"/>
      <c r="E165" s="356"/>
      <c r="F165" s="356"/>
      <c r="G165" s="356"/>
      <c r="H165" s="356"/>
      <c r="I165" s="356"/>
      <c r="N165" s="78"/>
    </row>
    <row r="166" spans="1:14" s="76" customFormat="1" ht="15.75" customHeight="1" x14ac:dyDescent="0.2">
      <c r="A166" s="360" t="s">
        <v>406</v>
      </c>
      <c r="B166" s="356"/>
      <c r="C166" s="356"/>
      <c r="D166" s="356"/>
      <c r="E166" s="356"/>
      <c r="F166" s="356"/>
      <c r="G166" s="356"/>
      <c r="H166" s="356"/>
      <c r="I166" s="356"/>
      <c r="N166" s="78"/>
    </row>
    <row r="167" spans="1:14" s="76" customFormat="1" ht="15.75" customHeight="1" x14ac:dyDescent="0.2">
      <c r="A167" s="354" t="s">
        <v>408</v>
      </c>
      <c r="B167" s="356"/>
      <c r="C167" s="356"/>
      <c r="D167" s="356"/>
      <c r="E167" s="356"/>
      <c r="F167" s="356"/>
      <c r="G167" s="356"/>
      <c r="H167" s="356"/>
      <c r="I167" s="356"/>
      <c r="N167" s="78"/>
    </row>
    <row r="168" spans="1:14" s="76" customFormat="1" ht="15.75" customHeight="1" x14ac:dyDescent="0.2">
      <c r="A168" s="360"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54" t="s">
        <v>410</v>
      </c>
      <c r="B169" s="356"/>
      <c r="C169" s="356"/>
      <c r="D169" s="356"/>
      <c r="E169" s="356"/>
      <c r="F169" s="356"/>
      <c r="G169" s="356"/>
      <c r="H169" s="356"/>
      <c r="I169" s="356"/>
      <c r="N169" s="78"/>
    </row>
    <row r="170" spans="1:14" s="76" customFormat="1" ht="15.75" customHeight="1" x14ac:dyDescent="0.2">
      <c r="A170" s="360" t="s">
        <v>409</v>
      </c>
      <c r="B170" s="356"/>
      <c r="C170" s="356"/>
      <c r="D170" s="356"/>
      <c r="E170" s="356"/>
      <c r="F170" s="356"/>
      <c r="G170" s="356"/>
      <c r="H170" s="356"/>
      <c r="I170" s="356"/>
      <c r="N170" s="78"/>
    </row>
    <row r="171" spans="1:14" s="76" customFormat="1" ht="15.75" customHeight="1" x14ac:dyDescent="0.2">
      <c r="A171" s="354"/>
      <c r="B171" s="356"/>
      <c r="C171" s="356"/>
      <c r="D171" s="356"/>
      <c r="E171" s="356"/>
      <c r="F171" s="356"/>
      <c r="G171" s="356"/>
      <c r="H171" s="356"/>
      <c r="I171" s="356"/>
      <c r="N171" s="78"/>
    </row>
    <row r="172" spans="1:14" s="76" customFormat="1" ht="15.75" customHeight="1" x14ac:dyDescent="0.25">
      <c r="A172" s="367" t="str">
        <f>'1461'!A172</f>
        <v>Administrative fees:</v>
      </c>
      <c r="B172" s="356"/>
      <c r="C172" s="356"/>
      <c r="D172" s="356"/>
      <c r="E172" s="356"/>
      <c r="F172" s="356"/>
      <c r="G172" s="356"/>
      <c r="H172" s="356"/>
      <c r="I172" s="356"/>
      <c r="J172" s="3"/>
      <c r="K172" s="3"/>
      <c r="L172" s="3"/>
      <c r="M172" s="3"/>
      <c r="N172" s="78"/>
    </row>
    <row r="173" spans="1:14" s="76" customFormat="1" ht="15.75" customHeight="1" x14ac:dyDescent="0.25">
      <c r="A173" s="371" t="str">
        <f>'1461'!A173</f>
        <v xml:space="preserve">Administrative fees charged by the school district pursuant to s. 1002.33(20)(a), F.S., shall be calculated based upon 5% of available funds from the FEFP and categorical </v>
      </c>
      <c r="B173" s="359"/>
      <c r="C173" s="359"/>
      <c r="D173" s="359"/>
      <c r="E173" s="359"/>
      <c r="F173" s="359"/>
      <c r="G173" s="359"/>
      <c r="H173" s="359"/>
      <c r="I173" s="359"/>
      <c r="J173" s="3"/>
      <c r="K173" s="3"/>
      <c r="L173" s="3"/>
      <c r="M173" s="3"/>
      <c r="N173" s="78"/>
    </row>
    <row r="174" spans="1:14" s="76" customFormat="1" ht="15.75" customHeight="1" x14ac:dyDescent="0.25">
      <c r="A174" s="372" t="str">
        <f>'1461'!A174</f>
        <v>funding for which charter students may be eligible.  To calculate the administrative fee to be withheld for schools with more than 250 students, divide the school</v>
      </c>
      <c r="B174" s="366"/>
      <c r="C174" s="366"/>
      <c r="D174" s="366"/>
      <c r="E174" s="366"/>
      <c r="F174" s="366"/>
      <c r="G174" s="366"/>
      <c r="H174" s="366"/>
      <c r="I174" s="366"/>
      <c r="J174" s="3"/>
      <c r="K174" s="3"/>
      <c r="L174" s="3"/>
      <c r="M174" s="3"/>
      <c r="N174" s="78"/>
    </row>
    <row r="175" spans="1:14" s="76" customFormat="1" ht="15.75" customHeight="1" x14ac:dyDescent="0.25">
      <c r="A175" s="372" t="s">
        <v>411</v>
      </c>
      <c r="B175" s="366"/>
      <c r="C175" s="366"/>
      <c r="D175" s="366"/>
      <c r="E175" s="366"/>
      <c r="F175" s="366"/>
      <c r="G175" s="366"/>
      <c r="H175" s="366"/>
      <c r="I175" s="366"/>
      <c r="J175" s="3"/>
      <c r="K175" s="3"/>
      <c r="L175" s="3"/>
      <c r="M175" s="3"/>
      <c r="N175" s="78"/>
    </row>
    <row r="176" spans="1:14" s="76" customFormat="1" ht="15.75" customHeight="1" x14ac:dyDescent="0.2">
      <c r="A176" s="372" t="s">
        <v>412</v>
      </c>
      <c r="B176" s="366"/>
      <c r="C176" s="366"/>
      <c r="D176" s="366"/>
      <c r="E176" s="366"/>
      <c r="F176" s="366"/>
      <c r="G176" s="366"/>
      <c r="H176" s="366"/>
      <c r="I176" s="366"/>
      <c r="N176" s="78"/>
    </row>
    <row r="177" spans="1:21" s="76" customFormat="1" ht="15.75" customHeight="1" x14ac:dyDescent="0.2">
      <c r="A177" s="371"/>
      <c r="B177" s="366"/>
      <c r="C177" s="366"/>
      <c r="D177" s="366"/>
      <c r="E177" s="366"/>
      <c r="F177" s="366"/>
      <c r="G177" s="366"/>
      <c r="H177" s="366"/>
      <c r="I177" s="366"/>
      <c r="N177" s="78"/>
    </row>
    <row r="178" spans="1:21" ht="15.75" customHeight="1" x14ac:dyDescent="0.25">
      <c r="A178" s="371" t="str">
        <f>'1461'!A178</f>
        <v xml:space="preserve">For high performing charter schools, administrative fees charged by the school district shall be calculated based upon 2% of available funds from the FEFP and categorical </v>
      </c>
      <c r="B178" s="359"/>
      <c r="C178" s="359"/>
      <c r="D178" s="359"/>
      <c r="E178" s="359"/>
      <c r="F178" s="359"/>
      <c r="G178" s="359"/>
      <c r="H178" s="359"/>
      <c r="I178" s="359"/>
      <c r="J178" s="76"/>
      <c r="K178" s="76"/>
      <c r="L178" s="76"/>
      <c r="M178" s="76"/>
      <c r="N178" s="78"/>
      <c r="O178" s="76"/>
      <c r="P178" s="76"/>
      <c r="Q178" s="76"/>
      <c r="R178" s="76"/>
      <c r="S178" s="76"/>
      <c r="T178" s="76"/>
      <c r="U178" s="76"/>
    </row>
    <row r="179" spans="1:21" ht="15.75" customHeight="1" x14ac:dyDescent="0.25">
      <c r="A179" s="372" t="str">
        <f>'1461'!A179</f>
        <v>funding for which charter students may be eligible.  To calculate the administrative fee to be withheld for schools with more than 250 students, divide the school</v>
      </c>
      <c r="B179" s="359"/>
      <c r="C179" s="359"/>
      <c r="D179" s="359"/>
      <c r="E179" s="359"/>
      <c r="F179" s="359"/>
      <c r="G179" s="359"/>
      <c r="H179" s="359"/>
      <c r="I179" s="359"/>
      <c r="J179" s="76"/>
      <c r="K179" s="76"/>
      <c r="L179" s="76"/>
      <c r="M179" s="76"/>
      <c r="N179" s="74"/>
    </row>
    <row r="180" spans="1:21" s="76" customFormat="1" ht="15.75" customHeight="1" x14ac:dyDescent="0.25">
      <c r="A180" s="372" t="str">
        <f>'1461'!A180</f>
        <v xml:space="preserve">population into 250. Multiply that fraction times the funds available, then times 2%.  </v>
      </c>
      <c r="B180" s="359"/>
      <c r="C180" s="359"/>
      <c r="D180" s="359"/>
      <c r="E180" s="359"/>
      <c r="F180" s="359"/>
      <c r="G180" s="359"/>
      <c r="H180" s="359"/>
      <c r="I180" s="359"/>
      <c r="N180" s="74"/>
      <c r="O180" s="3"/>
      <c r="P180" s="3"/>
      <c r="Q180" s="3"/>
      <c r="R180" s="3"/>
      <c r="S180" s="3"/>
      <c r="T180" s="3"/>
      <c r="U180" s="3"/>
    </row>
    <row r="181" spans="1:21" x14ac:dyDescent="0.25">
      <c r="A181" s="354"/>
      <c r="B181" s="359"/>
      <c r="C181" s="359"/>
      <c r="D181" s="359"/>
      <c r="E181" s="359"/>
      <c r="F181" s="359"/>
      <c r="G181" s="359"/>
      <c r="H181" s="359"/>
      <c r="I181" s="359"/>
      <c r="N181" s="78"/>
      <c r="O181" s="76"/>
      <c r="P181" s="76"/>
      <c r="Q181" s="76"/>
      <c r="R181" s="76"/>
      <c r="S181" s="76"/>
      <c r="T181" s="76"/>
      <c r="U181" s="76"/>
    </row>
    <row r="182" spans="1:21" x14ac:dyDescent="0.25">
      <c r="A182" s="367" t="str">
        <f>'1461'!A182</f>
        <v>Other:</v>
      </c>
      <c r="B182" s="365"/>
      <c r="C182" s="365"/>
      <c r="D182" s="365"/>
      <c r="E182" s="365"/>
      <c r="F182" s="365"/>
      <c r="G182" s="365"/>
      <c r="H182" s="365"/>
      <c r="I182" s="365"/>
      <c r="N182" s="78"/>
      <c r="O182" s="76"/>
      <c r="P182" s="76"/>
      <c r="Q182" s="76"/>
      <c r="R182" s="76"/>
      <c r="S182" s="76"/>
      <c r="T182" s="76"/>
      <c r="U182" s="76"/>
    </row>
    <row r="183" spans="1:21" x14ac:dyDescent="0.25">
      <c r="A183" s="371" t="str">
        <f>'1461'!A183</f>
        <v>FEFP and categorical funding are recalculated during the year to reflect the revised number of full-time equivalent students reported during the survey periods designated</v>
      </c>
      <c r="B183" s="359"/>
      <c r="C183" s="359"/>
      <c r="D183" s="359"/>
      <c r="E183" s="359"/>
      <c r="F183" s="359"/>
      <c r="G183" s="359"/>
      <c r="H183" s="359"/>
      <c r="I183" s="359"/>
      <c r="N183" s="78"/>
      <c r="O183" s="76"/>
      <c r="P183" s="76"/>
      <c r="Q183" s="76"/>
      <c r="R183" s="76"/>
      <c r="S183" s="76"/>
      <c r="T183" s="76"/>
      <c r="U183" s="76"/>
    </row>
    <row r="184" spans="1:21" x14ac:dyDescent="0.25">
      <c r="A184" s="372" t="str">
        <f>'1461'!A184</f>
        <v>by the Commissioner of Education.</v>
      </c>
      <c r="B184" s="366"/>
      <c r="C184" s="366"/>
      <c r="D184" s="366"/>
      <c r="E184" s="366"/>
      <c r="F184" s="366"/>
      <c r="G184" s="366"/>
      <c r="H184" s="366"/>
      <c r="I184" s="366"/>
      <c r="N184" s="74"/>
    </row>
    <row r="185" spans="1:21" x14ac:dyDescent="0.25">
      <c r="A185" s="371" t="str">
        <f>'1461'!A185</f>
        <v>Revenues flow to districts from state sources and from county tax collectors on various distribution schedules.</v>
      </c>
      <c r="B185" s="359"/>
      <c r="C185" s="359"/>
      <c r="D185" s="359"/>
      <c r="E185" s="359"/>
      <c r="F185" s="359"/>
      <c r="G185" s="359"/>
      <c r="H185" s="359"/>
      <c r="I185" s="359"/>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topLeftCell="A13"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111</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469" t="str">
        <f>'1461'!C10</f>
        <v xml:space="preserve"> </v>
      </c>
      <c r="D10" s="88"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0</v>
      </c>
      <c r="D15" s="143">
        <v>0</v>
      </c>
      <c r="E15" s="116">
        <f t="shared" ref="E15:E29" si="1">IF(D$30=0,C15*2,C15+D15)</f>
        <v>0</v>
      </c>
      <c r="F15" s="679">
        <f>'1461'!F15:G15</f>
        <v>1.1220000000000001</v>
      </c>
      <c r="G15" s="679"/>
      <c r="H15" s="80">
        <f t="shared" ref="H15:H29" si="2">ROUND(E15*F15,4)</f>
        <v>0</v>
      </c>
      <c r="I15" s="101">
        <f t="shared" ref="I15:I29" si="3">ROUND(ROUND(ROUND(H15*$C$8,4)*($H$8),2)*(MAX($H$9,1)),2)</f>
        <v>0</v>
      </c>
      <c r="J15" s="65" t="str">
        <f>IF(ROUND(E15,2)=ROUND(SUM(E57:E59),2)," ","CHECK PK-3 LINES BELOW")</f>
        <v xml:space="preserve"> </v>
      </c>
      <c r="N15" s="621" t="s">
        <v>21</v>
      </c>
      <c r="O15" s="621"/>
      <c r="P15" s="662">
        <f t="shared" si="0"/>
        <v>0</v>
      </c>
      <c r="Q15" s="662"/>
      <c r="R15" s="667">
        <v>1</v>
      </c>
      <c r="S15" s="667"/>
      <c r="T15" s="95">
        <f t="shared" ref="T15:T29" si="4">ROUND(P15*R15,4)</f>
        <v>0</v>
      </c>
      <c r="U15" s="486">
        <f t="shared" ref="U15:U29" si="5">ROUND(ROUND(ROUND(T15*$C$8,4)*($H$8),2)*(MAX($H$9,1)),2)</f>
        <v>0</v>
      </c>
    </row>
    <row r="16" spans="1:21" x14ac:dyDescent="0.25">
      <c r="A16" s="596" t="s">
        <v>22</v>
      </c>
      <c r="B16" s="596"/>
      <c r="C16" s="143">
        <v>0</v>
      </c>
      <c r="D16" s="143">
        <v>0</v>
      </c>
      <c r="E16" s="116">
        <f t="shared" si="1"/>
        <v>0</v>
      </c>
      <c r="F16" s="679">
        <f>'1461'!F16:G16</f>
        <v>1</v>
      </c>
      <c r="G16" s="679"/>
      <c r="H16" s="80">
        <f t="shared" si="2"/>
        <v>0</v>
      </c>
      <c r="I16" s="101">
        <f t="shared" si="3"/>
        <v>0</v>
      </c>
      <c r="N16" s="621" t="s">
        <v>22</v>
      </c>
      <c r="O16" s="621"/>
      <c r="P16" s="662">
        <f t="shared" si="0"/>
        <v>0</v>
      </c>
      <c r="Q16" s="662"/>
      <c r="R16" s="667">
        <v>1</v>
      </c>
      <c r="S16" s="667"/>
      <c r="T16" s="95">
        <f t="shared" si="4"/>
        <v>0</v>
      </c>
      <c r="U16" s="486">
        <f t="shared" si="5"/>
        <v>0</v>
      </c>
    </row>
    <row r="17" spans="1:21" x14ac:dyDescent="0.25">
      <c r="A17" s="596" t="s">
        <v>23</v>
      </c>
      <c r="B17" s="596"/>
      <c r="C17" s="143">
        <v>0</v>
      </c>
      <c r="D17" s="143">
        <v>0</v>
      </c>
      <c r="E17" s="116">
        <f t="shared" si="1"/>
        <v>0</v>
      </c>
      <c r="F17" s="679">
        <f>'1461'!F17:G17</f>
        <v>1</v>
      </c>
      <c r="G17" s="679"/>
      <c r="H17" s="80">
        <f t="shared" si="2"/>
        <v>0</v>
      </c>
      <c r="I17" s="101">
        <f t="shared" si="3"/>
        <v>0</v>
      </c>
      <c r="J17" s="65" t="str">
        <f>IF(ROUND(E17,2)=ROUND(SUM(E60:E62),2)," ","CHECK 4-8 LINES BELOW")</f>
        <v xml:space="preserve"> </v>
      </c>
      <c r="N17" s="621" t="s">
        <v>23</v>
      </c>
      <c r="O17" s="621"/>
      <c r="P17" s="662">
        <f t="shared" si="0"/>
        <v>0</v>
      </c>
      <c r="Q17" s="662"/>
      <c r="R17" s="667">
        <v>1</v>
      </c>
      <c r="S17" s="667"/>
      <c r="T17" s="95">
        <f t="shared" si="4"/>
        <v>0</v>
      </c>
      <c r="U17" s="486">
        <f t="shared" si="5"/>
        <v>0</v>
      </c>
    </row>
    <row r="18" spans="1:21" x14ac:dyDescent="0.25">
      <c r="A18" s="596" t="s">
        <v>24</v>
      </c>
      <c r="B18" s="596"/>
      <c r="C18" s="143">
        <v>0</v>
      </c>
      <c r="D18" s="143">
        <v>0</v>
      </c>
      <c r="E18" s="116">
        <f t="shared" si="1"/>
        <v>0</v>
      </c>
      <c r="F18" s="679">
        <f>'1461'!F18:G18</f>
        <v>0.98799999999999999</v>
      </c>
      <c r="G18" s="679"/>
      <c r="H18" s="80">
        <f t="shared" si="2"/>
        <v>0</v>
      </c>
      <c r="I18" s="101">
        <f t="shared" si="3"/>
        <v>0</v>
      </c>
      <c r="N18" s="621" t="s">
        <v>24</v>
      </c>
      <c r="O18" s="621"/>
      <c r="P18" s="662">
        <f t="shared" si="0"/>
        <v>0</v>
      </c>
      <c r="Q18" s="662"/>
      <c r="R18" s="667">
        <v>1</v>
      </c>
      <c r="S18" s="667"/>
      <c r="T18" s="95">
        <f t="shared" si="4"/>
        <v>0</v>
      </c>
      <c r="U18" s="486">
        <f t="shared" si="5"/>
        <v>0</v>
      </c>
    </row>
    <row r="19" spans="1:21" x14ac:dyDescent="0.25">
      <c r="A19" s="596" t="s">
        <v>25</v>
      </c>
      <c r="B19" s="596"/>
      <c r="C19" s="143">
        <v>30.48</v>
      </c>
      <c r="D19" s="143">
        <v>31.66</v>
      </c>
      <c r="E19" s="116">
        <f t="shared" si="1"/>
        <v>62.14</v>
      </c>
      <c r="F19" s="679">
        <f>'1461'!F19:G19</f>
        <v>0.98799999999999999</v>
      </c>
      <c r="G19" s="679"/>
      <c r="H19" s="80">
        <f t="shared" si="2"/>
        <v>61.394300000000001</v>
      </c>
      <c r="I19" s="101">
        <f t="shared" si="3"/>
        <v>329497.44</v>
      </c>
      <c r="J19" s="65" t="str">
        <f>IF(ROUND(E19,2)=ROUND(SUM(E63:E65),2)," ","CHECK 4-8 LINES BELOW")</f>
        <v xml:space="preserve"> </v>
      </c>
      <c r="N19" s="621" t="s">
        <v>25</v>
      </c>
      <c r="O19" s="621"/>
      <c r="P19" s="662">
        <f t="shared" si="0"/>
        <v>62.14</v>
      </c>
      <c r="Q19" s="662"/>
      <c r="R19" s="667">
        <v>1</v>
      </c>
      <c r="S19" s="667"/>
      <c r="T19" s="95">
        <f t="shared" si="4"/>
        <v>62.14</v>
      </c>
      <c r="U19" s="485">
        <f t="shared" si="5"/>
        <v>333499.53999999998</v>
      </c>
    </row>
    <row r="20" spans="1:21" x14ac:dyDescent="0.25">
      <c r="A20" s="596" t="s">
        <v>79</v>
      </c>
      <c r="B20" s="596"/>
      <c r="C20" s="143">
        <v>0</v>
      </c>
      <c r="D20" s="143">
        <v>0</v>
      </c>
      <c r="E20" s="116">
        <f t="shared" si="1"/>
        <v>0</v>
      </c>
      <c r="F20" s="679">
        <f>'1461'!F20:G20</f>
        <v>3.706</v>
      </c>
      <c r="G20" s="679"/>
      <c r="H20" s="80">
        <f t="shared" si="2"/>
        <v>0</v>
      </c>
      <c r="I20" s="101">
        <f t="shared" si="3"/>
        <v>0</v>
      </c>
      <c r="N20" s="621" t="s">
        <v>79</v>
      </c>
      <c r="O20" s="621"/>
      <c r="P20" s="662">
        <f t="shared" si="0"/>
        <v>0</v>
      </c>
      <c r="Q20" s="662"/>
      <c r="R20" s="667">
        <v>1</v>
      </c>
      <c r="S20" s="667"/>
      <c r="T20" s="95">
        <f t="shared" si="4"/>
        <v>0</v>
      </c>
      <c r="U20" s="486">
        <f t="shared" si="5"/>
        <v>0</v>
      </c>
    </row>
    <row r="21" spans="1:21" x14ac:dyDescent="0.25">
      <c r="A21" s="596" t="s">
        <v>80</v>
      </c>
      <c r="B21" s="596"/>
      <c r="C21" s="143">
        <v>0</v>
      </c>
      <c r="D21" s="143">
        <v>0</v>
      </c>
      <c r="E21" s="116">
        <f t="shared" si="1"/>
        <v>0</v>
      </c>
      <c r="F21" s="679">
        <f>'1461'!F21:G21</f>
        <v>3.706</v>
      </c>
      <c r="G21" s="679"/>
      <c r="H21" s="80">
        <f t="shared" si="2"/>
        <v>0</v>
      </c>
      <c r="I21" s="101">
        <f t="shared" si="3"/>
        <v>0</v>
      </c>
      <c r="N21" s="621" t="s">
        <v>80</v>
      </c>
      <c r="O21" s="621"/>
      <c r="P21" s="662">
        <f t="shared" si="0"/>
        <v>0</v>
      </c>
      <c r="Q21" s="662"/>
      <c r="R21" s="667">
        <v>1</v>
      </c>
      <c r="S21" s="667"/>
      <c r="T21" s="95">
        <f t="shared" si="4"/>
        <v>0</v>
      </c>
      <c r="U21" s="486">
        <f t="shared" si="5"/>
        <v>0</v>
      </c>
    </row>
    <row r="22" spans="1:21" x14ac:dyDescent="0.25">
      <c r="A22" s="596" t="s">
        <v>81</v>
      </c>
      <c r="B22" s="596"/>
      <c r="C22" s="143">
        <v>5.41</v>
      </c>
      <c r="D22" s="143">
        <v>4.82</v>
      </c>
      <c r="E22" s="116">
        <f t="shared" si="1"/>
        <v>10.23</v>
      </c>
      <c r="F22" s="679">
        <f>'1461'!F22:G22</f>
        <v>3.706</v>
      </c>
      <c r="G22" s="679"/>
      <c r="H22" s="80">
        <f t="shared" si="2"/>
        <v>37.912399999999998</v>
      </c>
      <c r="I22" s="101">
        <f t="shared" si="3"/>
        <v>203472.29</v>
      </c>
      <c r="N22" s="621" t="s">
        <v>81</v>
      </c>
      <c r="O22" s="621"/>
      <c r="P22" s="662">
        <f t="shared" si="0"/>
        <v>10.23</v>
      </c>
      <c r="Q22" s="662"/>
      <c r="R22" s="667">
        <v>1</v>
      </c>
      <c r="S22" s="667"/>
      <c r="T22" s="95">
        <f t="shared" si="4"/>
        <v>10.23</v>
      </c>
      <c r="U22" s="486">
        <f t="shared" si="5"/>
        <v>54903.45</v>
      </c>
    </row>
    <row r="23" spans="1:21" x14ac:dyDescent="0.25">
      <c r="A23" s="596" t="s">
        <v>82</v>
      </c>
      <c r="B23" s="596"/>
      <c r="C23" s="143">
        <v>0</v>
      </c>
      <c r="D23" s="143">
        <v>0</v>
      </c>
      <c r="E23" s="116">
        <f t="shared" si="1"/>
        <v>0</v>
      </c>
      <c r="F23" s="679">
        <f>'1461'!F23:G23</f>
        <v>5.7069999999999999</v>
      </c>
      <c r="G23" s="679"/>
      <c r="H23" s="80">
        <f t="shared" si="2"/>
        <v>0</v>
      </c>
      <c r="I23" s="101">
        <f t="shared" si="3"/>
        <v>0</v>
      </c>
      <c r="N23" s="621" t="s">
        <v>82</v>
      </c>
      <c r="O23" s="621"/>
      <c r="P23" s="662">
        <f t="shared" si="0"/>
        <v>0</v>
      </c>
      <c r="Q23" s="662"/>
      <c r="R23" s="667">
        <v>1</v>
      </c>
      <c r="S23" s="667"/>
      <c r="T23" s="95">
        <f t="shared" si="4"/>
        <v>0</v>
      </c>
      <c r="U23" s="486">
        <f t="shared" si="5"/>
        <v>0</v>
      </c>
    </row>
    <row r="24" spans="1:21" x14ac:dyDescent="0.25">
      <c r="A24" s="596" t="s">
        <v>83</v>
      </c>
      <c r="B24" s="596"/>
      <c r="C24" s="143">
        <v>0</v>
      </c>
      <c r="D24" s="143">
        <v>0</v>
      </c>
      <c r="E24" s="116">
        <f t="shared" si="1"/>
        <v>0</v>
      </c>
      <c r="F24" s="679">
        <f>'1461'!F24:G24</f>
        <v>5.7069999999999999</v>
      </c>
      <c r="G24" s="679"/>
      <c r="H24" s="80">
        <f t="shared" si="2"/>
        <v>0</v>
      </c>
      <c r="I24" s="101">
        <f t="shared" si="3"/>
        <v>0</v>
      </c>
      <c r="N24" s="621" t="s">
        <v>83</v>
      </c>
      <c r="O24" s="621"/>
      <c r="P24" s="662">
        <f t="shared" si="0"/>
        <v>0</v>
      </c>
      <c r="Q24" s="662"/>
      <c r="R24" s="667">
        <v>1</v>
      </c>
      <c r="S24" s="667"/>
      <c r="T24" s="95">
        <f t="shared" si="4"/>
        <v>0</v>
      </c>
      <c r="U24" s="486">
        <f t="shared" si="5"/>
        <v>0</v>
      </c>
    </row>
    <row r="25" spans="1:21" x14ac:dyDescent="0.25">
      <c r="A25" s="596" t="s">
        <v>84</v>
      </c>
      <c r="B25" s="596"/>
      <c r="C25" s="143">
        <v>0</v>
      </c>
      <c r="D25" s="143">
        <v>0</v>
      </c>
      <c r="E25" s="116">
        <f t="shared" si="1"/>
        <v>0</v>
      </c>
      <c r="F25" s="679">
        <f>'1461'!F25:G25</f>
        <v>5.7069999999999999</v>
      </c>
      <c r="G25" s="679"/>
      <c r="H25" s="80">
        <f t="shared" si="2"/>
        <v>0</v>
      </c>
      <c r="I25" s="101">
        <f t="shared" si="3"/>
        <v>0</v>
      </c>
      <c r="N25" s="621" t="s">
        <v>84</v>
      </c>
      <c r="O25" s="621"/>
      <c r="P25" s="662">
        <f t="shared" si="0"/>
        <v>0</v>
      </c>
      <c r="Q25" s="662"/>
      <c r="R25" s="667">
        <v>1</v>
      </c>
      <c r="S25" s="667"/>
      <c r="T25" s="95">
        <f t="shared" si="4"/>
        <v>0</v>
      </c>
      <c r="U25" s="486">
        <f t="shared" si="5"/>
        <v>0</v>
      </c>
    </row>
    <row r="26" spans="1:21" x14ac:dyDescent="0.25">
      <c r="A26" s="596" t="s">
        <v>85</v>
      </c>
      <c r="B26" s="596"/>
      <c r="C26" s="143">
        <v>0</v>
      </c>
      <c r="D26" s="143">
        <v>0</v>
      </c>
      <c r="E26" s="116">
        <f t="shared" si="1"/>
        <v>0</v>
      </c>
      <c r="F26" s="679">
        <f>'1461'!F26:G26</f>
        <v>1.208</v>
      </c>
      <c r="G26" s="679"/>
      <c r="H26" s="80">
        <f t="shared" si="2"/>
        <v>0</v>
      </c>
      <c r="I26" s="101">
        <f t="shared" si="3"/>
        <v>0</v>
      </c>
      <c r="N26" s="621" t="s">
        <v>85</v>
      </c>
      <c r="O26" s="621"/>
      <c r="P26" s="662">
        <f t="shared" si="0"/>
        <v>0</v>
      </c>
      <c r="Q26" s="662"/>
      <c r="R26" s="667">
        <v>1</v>
      </c>
      <c r="S26" s="667"/>
      <c r="T26" s="95">
        <f t="shared" si="4"/>
        <v>0</v>
      </c>
      <c r="U26" s="486">
        <f t="shared" si="5"/>
        <v>0</v>
      </c>
    </row>
    <row r="27" spans="1:21" x14ac:dyDescent="0.25">
      <c r="A27" s="596" t="s">
        <v>86</v>
      </c>
      <c r="B27" s="596"/>
      <c r="C27" s="143">
        <v>0</v>
      </c>
      <c r="D27" s="143">
        <v>0</v>
      </c>
      <c r="E27" s="116">
        <f t="shared" si="1"/>
        <v>0</v>
      </c>
      <c r="F27" s="679">
        <f>'1461'!F27:G27</f>
        <v>1.208</v>
      </c>
      <c r="G27" s="679"/>
      <c r="H27" s="80">
        <f t="shared" si="2"/>
        <v>0</v>
      </c>
      <c r="I27" s="101">
        <f t="shared" si="3"/>
        <v>0</v>
      </c>
      <c r="N27" s="621" t="s">
        <v>86</v>
      </c>
      <c r="O27" s="621"/>
      <c r="P27" s="662">
        <f t="shared" si="0"/>
        <v>0</v>
      </c>
      <c r="Q27" s="662"/>
      <c r="R27" s="667">
        <v>1</v>
      </c>
      <c r="S27" s="667"/>
      <c r="T27" s="95">
        <f t="shared" si="4"/>
        <v>0</v>
      </c>
      <c r="U27" s="486">
        <f t="shared" si="5"/>
        <v>0</v>
      </c>
    </row>
    <row r="28" spans="1:21" x14ac:dyDescent="0.25">
      <c r="A28" s="596" t="s">
        <v>87</v>
      </c>
      <c r="B28" s="596"/>
      <c r="C28" s="143">
        <v>0</v>
      </c>
      <c r="D28" s="143">
        <v>0</v>
      </c>
      <c r="E28" s="116">
        <f t="shared" si="1"/>
        <v>0</v>
      </c>
      <c r="F28" s="679">
        <f>'1461'!F28:G28</f>
        <v>1.208</v>
      </c>
      <c r="G28" s="679"/>
      <c r="H28" s="80">
        <f t="shared" si="2"/>
        <v>0</v>
      </c>
      <c r="I28" s="101">
        <f t="shared" si="3"/>
        <v>0</v>
      </c>
      <c r="N28" s="621" t="s">
        <v>87</v>
      </c>
      <c r="O28" s="621"/>
      <c r="P28" s="662">
        <f t="shared" si="0"/>
        <v>0</v>
      </c>
      <c r="Q28" s="662"/>
      <c r="R28" s="667">
        <v>1</v>
      </c>
      <c r="S28" s="667"/>
      <c r="T28" s="95">
        <f t="shared" si="4"/>
        <v>0</v>
      </c>
      <c r="U28" s="486">
        <f t="shared" si="5"/>
        <v>0</v>
      </c>
    </row>
    <row r="29" spans="1:21" x14ac:dyDescent="0.25">
      <c r="A29" s="596" t="s">
        <v>88</v>
      </c>
      <c r="B29" s="596"/>
      <c r="C29" s="110">
        <v>0</v>
      </c>
      <c r="D29" s="110">
        <v>0</v>
      </c>
      <c r="E29" s="154">
        <f t="shared" si="1"/>
        <v>0</v>
      </c>
      <c r="F29" s="679">
        <f>'1461'!F29:G29</f>
        <v>1.0720000000000001</v>
      </c>
      <c r="G29" s="679"/>
      <c r="H29" s="93">
        <f t="shared" si="2"/>
        <v>0</v>
      </c>
      <c r="I29" s="94">
        <f t="shared" si="3"/>
        <v>0</v>
      </c>
      <c r="N29" s="636" t="s">
        <v>88</v>
      </c>
      <c r="O29" s="636"/>
      <c r="P29" s="662">
        <f t="shared" si="0"/>
        <v>0</v>
      </c>
      <c r="Q29" s="662"/>
      <c r="R29" s="663">
        <v>1</v>
      </c>
      <c r="S29" s="663"/>
      <c r="T29" s="95">
        <f t="shared" si="4"/>
        <v>0</v>
      </c>
      <c r="U29" s="486">
        <f t="shared" si="5"/>
        <v>0</v>
      </c>
    </row>
    <row r="30" spans="1:21" x14ac:dyDescent="0.25">
      <c r="A30" s="608" t="s">
        <v>5</v>
      </c>
      <c r="B30" s="608"/>
      <c r="C30" s="94">
        <f>SUM(C14:C29)</f>
        <v>35.89</v>
      </c>
      <c r="D30" s="94">
        <f>SUM(D14:D29)</f>
        <v>36.480000000000004</v>
      </c>
      <c r="E30" s="94">
        <f>SUM(E14:E29)</f>
        <v>72.37</v>
      </c>
      <c r="F30" s="600"/>
      <c r="G30" s="600"/>
      <c r="H30" s="99">
        <f>SUM(H14:H29)</f>
        <v>99.306700000000006</v>
      </c>
      <c r="I30" s="94">
        <f>SUM(I14:I29)</f>
        <v>532969.73</v>
      </c>
      <c r="N30" s="664" t="s">
        <v>5</v>
      </c>
      <c r="O30" s="664"/>
      <c r="P30" s="665">
        <f>SUM(P14:P29)</f>
        <v>72.37</v>
      </c>
      <c r="Q30" s="665"/>
      <c r="R30" s="637"/>
      <c r="S30" s="637"/>
      <c r="T30" s="100">
        <f>SUM(T14:T29)</f>
        <v>72.37</v>
      </c>
      <c r="U30" s="486">
        <f>SUM(U14:U29)</f>
        <v>388402.99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99.306700000000006</v>
      </c>
      <c r="F46" s="34"/>
      <c r="G46" s="106"/>
      <c r="H46" s="107" t="s">
        <v>98</v>
      </c>
      <c r="I46" s="94">
        <f>SUM(I44,I30)</f>
        <v>532969.73</v>
      </c>
      <c r="N46" s="623" t="s">
        <v>44</v>
      </c>
      <c r="O46" s="623"/>
      <c r="P46" s="623"/>
      <c r="Q46" s="623"/>
      <c r="R46" s="35">
        <f>R44+T30</f>
        <v>72.37</v>
      </c>
      <c r="S46" s="637" t="s">
        <v>42</v>
      </c>
      <c r="T46" s="637"/>
      <c r="U46" s="108">
        <f>SUM(U44,U30)</f>
        <v>388402.99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712929.61</v>
      </c>
      <c r="G51" s="109" t="s">
        <v>6</v>
      </c>
      <c r="H51" s="415">
        <v>4.5199999999999997E-2</v>
      </c>
      <c r="I51" s="101">
        <f>ROUND(F51*H51,2)</f>
        <v>32224.42</v>
      </c>
      <c r="N51" s="420"/>
      <c r="O51" s="421" t="s">
        <v>422</v>
      </c>
      <c r="P51" s="28"/>
      <c r="Q51" s="44" t="s">
        <v>423</v>
      </c>
      <c r="R51" s="422">
        <f>U30</f>
        <v>388402.99</v>
      </c>
      <c r="S51" s="423" t="s">
        <v>6</v>
      </c>
      <c r="T51" s="424">
        <v>4.5199999999999997E-2</v>
      </c>
      <c r="U51" s="416">
        <f>ROUND(R51*T51,2)</f>
        <v>17555.82</v>
      </c>
    </row>
    <row r="52" spans="1:22" x14ac:dyDescent="0.25">
      <c r="A52" s="26"/>
      <c r="B52" s="81" t="s">
        <v>424</v>
      </c>
      <c r="C52" s="26"/>
      <c r="D52" s="26"/>
      <c r="E52" s="43" t="s">
        <v>423</v>
      </c>
      <c r="F52" s="414">
        <v>712929.61</v>
      </c>
      <c r="G52" s="109" t="s">
        <v>6</v>
      </c>
      <c r="H52" s="415">
        <v>1.41E-2</v>
      </c>
      <c r="I52" s="101">
        <f>ROUND(F52*H52,2)</f>
        <v>10052.31</v>
      </c>
      <c r="N52" s="28"/>
      <c r="O52" s="397" t="s">
        <v>424</v>
      </c>
      <c r="P52" s="28"/>
      <c r="Q52" s="44" t="s">
        <v>423</v>
      </c>
      <c r="R52" s="422">
        <f>U30</f>
        <v>388402.99</v>
      </c>
      <c r="S52" s="423" t="s">
        <v>6</v>
      </c>
      <c r="T52" s="424">
        <v>1.41E-2</v>
      </c>
      <c r="U52" s="425">
        <f>ROUND(R52*T52,2)</f>
        <v>5476.48</v>
      </c>
    </row>
    <row r="53" spans="1:22" x14ac:dyDescent="0.25">
      <c r="A53" s="26"/>
      <c r="B53" s="81" t="s">
        <v>425</v>
      </c>
      <c r="C53" s="26"/>
      <c r="D53" s="26"/>
      <c r="E53" s="43"/>
      <c r="F53" s="414"/>
      <c r="G53" s="109"/>
      <c r="H53" s="415"/>
      <c r="I53" s="97">
        <f>SUM(I51:I52)</f>
        <v>42276.729999999996</v>
      </c>
      <c r="N53" s="28"/>
      <c r="O53" s="397" t="s">
        <v>425</v>
      </c>
      <c r="P53" s="28"/>
      <c r="Q53" s="44"/>
      <c r="R53" s="422"/>
      <c r="S53" s="423"/>
      <c r="T53" s="424"/>
      <c r="U53" s="416">
        <f>SUM(U51:U52)</f>
        <v>23032.3</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2" si="10">IF(D$72=0,C57*2,C57+D57)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v>0</v>
      </c>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0</v>
      </c>
      <c r="D59" s="143">
        <v>0</v>
      </c>
      <c r="E59" s="116">
        <f t="shared" si="10"/>
        <v>0</v>
      </c>
      <c r="F59" s="456" t="s">
        <v>462</v>
      </c>
      <c r="G59" s="456">
        <v>253</v>
      </c>
      <c r="H59" s="470">
        <f>'1461'!H59</f>
        <v>6896</v>
      </c>
      <c r="I59" s="101">
        <f t="shared" si="11"/>
        <v>0</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0.71</v>
      </c>
      <c r="D63" s="143">
        <v>1.1000000000000001</v>
      </c>
      <c r="E63" s="116">
        <f>IF(D$66=0,C63*2,C63+D63)</f>
        <v>1.81</v>
      </c>
      <c r="F63" s="457" t="s">
        <v>14</v>
      </c>
      <c r="G63" s="456">
        <v>251</v>
      </c>
      <c r="H63" s="470">
        <f>'1461'!H63</f>
        <v>835</v>
      </c>
      <c r="I63" s="101">
        <f t="shared" si="11"/>
        <v>1511.35</v>
      </c>
      <c r="N63" s="639"/>
      <c r="O63" s="639"/>
      <c r="P63" s="642"/>
      <c r="Q63" s="642"/>
      <c r="R63" s="40" t="s">
        <v>14</v>
      </c>
      <c r="S63" s="462">
        <v>251</v>
      </c>
      <c r="T63" s="473">
        <f t="shared" si="12"/>
        <v>835</v>
      </c>
      <c r="U63" s="487">
        <f t="shared" si="13"/>
        <v>0</v>
      </c>
      <c r="V63" s="438"/>
    </row>
    <row r="64" spans="1:22" x14ac:dyDescent="0.25">
      <c r="A64" s="607"/>
      <c r="B64" s="607"/>
      <c r="C64" s="143">
        <v>0.5</v>
      </c>
      <c r="D64" s="143">
        <v>0.9</v>
      </c>
      <c r="E64" s="116">
        <f>IF(D$66=0,C64*2,C64+D64)</f>
        <v>1.4</v>
      </c>
      <c r="F64" s="457" t="s">
        <v>14</v>
      </c>
      <c r="G64" s="456">
        <v>252</v>
      </c>
      <c r="H64" s="470">
        <f>'1461'!H64</f>
        <v>3168</v>
      </c>
      <c r="I64" s="101">
        <f t="shared" si="11"/>
        <v>4435.2</v>
      </c>
      <c r="N64" s="639"/>
      <c r="O64" s="639"/>
      <c r="P64" s="642"/>
      <c r="Q64" s="642"/>
      <c r="R64" s="40" t="s">
        <v>14</v>
      </c>
      <c r="S64" s="462">
        <v>252</v>
      </c>
      <c r="T64" s="473">
        <f t="shared" si="12"/>
        <v>3168</v>
      </c>
      <c r="U64" s="487">
        <f t="shared" si="13"/>
        <v>0</v>
      </c>
      <c r="V64" s="438"/>
    </row>
    <row r="65" spans="1:22" ht="16.5" thickBot="1" x14ac:dyDescent="0.3">
      <c r="A65" s="607"/>
      <c r="B65" s="607"/>
      <c r="C65" s="143">
        <v>29.27</v>
      </c>
      <c r="D65" s="143">
        <v>29.66</v>
      </c>
      <c r="E65" s="116">
        <f>IF(D$66=0,C65*2,C65+D65)</f>
        <v>58.93</v>
      </c>
      <c r="F65" s="457" t="s">
        <v>14</v>
      </c>
      <c r="G65" s="456">
        <v>253</v>
      </c>
      <c r="H65" s="470">
        <f>'1461'!H65</f>
        <v>6685</v>
      </c>
      <c r="I65" s="101">
        <f t="shared" si="11"/>
        <v>393947.05</v>
      </c>
      <c r="N65" s="639"/>
      <c r="O65" s="639"/>
      <c r="P65" s="643"/>
      <c r="Q65" s="643"/>
      <c r="R65" s="40" t="s">
        <v>14</v>
      </c>
      <c r="S65" s="462">
        <v>253</v>
      </c>
      <c r="T65" s="473">
        <f t="shared" si="12"/>
        <v>6685</v>
      </c>
      <c r="U65" s="488">
        <f t="shared" si="13"/>
        <v>0</v>
      </c>
      <c r="V65" s="438"/>
    </row>
    <row r="66" spans="1:22" ht="16.5" thickBot="1" x14ac:dyDescent="0.3">
      <c r="A66" s="453"/>
      <c r="C66" s="97">
        <f>SUM(C57:C65)</f>
        <v>30.48</v>
      </c>
      <c r="D66" s="97">
        <f>SUM(D57:D65)</f>
        <v>31.66</v>
      </c>
      <c r="E66" s="97">
        <f>SUM(E57:E65)</f>
        <v>62.14</v>
      </c>
      <c r="F66" s="608" t="s">
        <v>471</v>
      </c>
      <c r="G66" s="608"/>
      <c r="H66" s="608"/>
      <c r="I66" s="97">
        <f>SUM(I57:I65)</f>
        <v>399893.6</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72.37</v>
      </c>
      <c r="D69" s="583" t="s">
        <v>437</v>
      </c>
      <c r="E69" s="583"/>
      <c r="F69" s="583"/>
      <c r="G69" s="583"/>
      <c r="H69" s="299">
        <f>'1461'!H69</f>
        <v>202683.97</v>
      </c>
      <c r="I69" s="113"/>
      <c r="N69" s="620" t="s">
        <v>430</v>
      </c>
      <c r="O69" s="621"/>
      <c r="P69" s="41">
        <f>P30</f>
        <v>72.37</v>
      </c>
      <c r="Q69" s="626" t="s">
        <v>432</v>
      </c>
      <c r="R69" s="627"/>
      <c r="S69" s="627"/>
      <c r="T69" s="624">
        <f>H69</f>
        <v>202683.97</v>
      </c>
      <c r="U69" s="624"/>
    </row>
    <row r="70" spans="1:22" x14ac:dyDescent="0.25">
      <c r="B70" s="69"/>
      <c r="G70" s="42" t="s">
        <v>12</v>
      </c>
      <c r="H70" s="114">
        <f>ROUND(C69/H69,6)</f>
        <v>3.57E-4</v>
      </c>
      <c r="I70" s="115"/>
      <c r="N70" s="621"/>
      <c r="O70" s="621"/>
      <c r="P70" s="621"/>
      <c r="Q70" s="621"/>
      <c r="R70" s="621"/>
      <c r="S70" s="621"/>
      <c r="T70" s="625">
        <f>ROUND(P69/T69,6)</f>
        <v>3.57E-4</v>
      </c>
      <c r="U70" s="625"/>
    </row>
    <row r="71" spans="1:22" x14ac:dyDescent="0.25">
      <c r="A71" s="455" t="s">
        <v>474</v>
      </c>
      <c r="N71" s="466" t="s">
        <v>482</v>
      </c>
      <c r="O71" s="51"/>
      <c r="P71" s="51"/>
      <c r="Q71" s="51"/>
      <c r="R71" s="51"/>
      <c r="S71" s="51"/>
      <c r="T71" s="51"/>
      <c r="U71" s="51"/>
    </row>
    <row r="72" spans="1:22" x14ac:dyDescent="0.25">
      <c r="A72" s="602" t="s">
        <v>427</v>
      </c>
      <c r="B72" s="596"/>
      <c r="C72" s="112">
        <f>H30</f>
        <v>99.306700000000006</v>
      </c>
      <c r="D72" s="583" t="s">
        <v>438</v>
      </c>
      <c r="E72" s="583"/>
      <c r="F72" s="583"/>
      <c r="G72" s="583"/>
      <c r="H72" s="300">
        <f>'1461'!H72</f>
        <v>228068.32</v>
      </c>
      <c r="I72" s="116"/>
      <c r="N72" s="620" t="s">
        <v>431</v>
      </c>
      <c r="O72" s="621"/>
      <c r="P72" s="41">
        <f>T30</f>
        <v>72.37</v>
      </c>
      <c r="Q72" s="626" t="s">
        <v>433</v>
      </c>
      <c r="R72" s="627"/>
      <c r="S72" s="627"/>
      <c r="T72" s="624">
        <f>H72</f>
        <v>228068.32</v>
      </c>
      <c r="U72" s="624"/>
    </row>
    <row r="73" spans="1:22" x14ac:dyDescent="0.25">
      <c r="G73" s="42" t="s">
        <v>12</v>
      </c>
      <c r="H73" s="114">
        <f>ROUND(C72/H72,6)</f>
        <v>4.35E-4</v>
      </c>
      <c r="I73" s="114"/>
      <c r="N73" s="621"/>
      <c r="O73" s="621"/>
      <c r="P73" s="621"/>
      <c r="Q73" s="621"/>
      <c r="R73" s="621"/>
      <c r="S73" s="621"/>
      <c r="T73" s="625">
        <f>ROUND(P72/T72,6)</f>
        <v>3.1700000000000001E-4</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72.37</v>
      </c>
      <c r="D75" s="575" t="s">
        <v>439</v>
      </c>
      <c r="E75" s="575"/>
      <c r="F75" s="575"/>
      <c r="G75" s="575"/>
      <c r="H75" s="299">
        <f>'1461'!H75</f>
        <v>186715.72</v>
      </c>
      <c r="I75" s="113"/>
      <c r="N75" s="620" t="s">
        <v>429</v>
      </c>
      <c r="O75" s="621"/>
      <c r="P75" s="41">
        <f>P30</f>
        <v>72.37</v>
      </c>
      <c r="Q75" s="656" t="s">
        <v>434</v>
      </c>
      <c r="R75" s="657"/>
      <c r="S75" s="657"/>
      <c r="T75" s="624">
        <f>H75</f>
        <v>186715.72</v>
      </c>
      <c r="U75" s="624"/>
    </row>
    <row r="76" spans="1:22" x14ac:dyDescent="0.25">
      <c r="B76" s="69"/>
      <c r="G76" s="42" t="s">
        <v>12</v>
      </c>
      <c r="H76" s="114">
        <f>ROUND(C75/H75,6)</f>
        <v>3.88E-4</v>
      </c>
      <c r="I76" s="115"/>
      <c r="N76" s="621"/>
      <c r="O76" s="621"/>
      <c r="P76" s="621"/>
      <c r="Q76" s="621"/>
      <c r="R76" s="621"/>
      <c r="S76" s="621"/>
      <c r="T76" s="625">
        <f>ROUND(P75/T75,6)</f>
        <v>3.88E-4</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72.37</v>
      </c>
      <c r="D78" s="603" t="s">
        <v>440</v>
      </c>
      <c r="E78" s="603"/>
      <c r="F78" s="603"/>
      <c r="G78" s="603"/>
      <c r="H78" s="299">
        <f>'1461'!H78</f>
        <v>202339.94</v>
      </c>
      <c r="I78" s="113"/>
      <c r="N78" s="620" t="s">
        <v>429</v>
      </c>
      <c r="O78" s="621"/>
      <c r="P78" s="41">
        <f>P30</f>
        <v>72.37</v>
      </c>
      <c r="Q78" s="654" t="s">
        <v>435</v>
      </c>
      <c r="R78" s="655"/>
      <c r="S78" s="655"/>
      <c r="T78" s="624">
        <f>H78</f>
        <v>202339.94</v>
      </c>
      <c r="U78" s="624"/>
    </row>
    <row r="79" spans="1:22" x14ac:dyDescent="0.25">
      <c r="B79" s="69"/>
      <c r="G79" s="42" t="s">
        <v>12</v>
      </c>
      <c r="H79" s="114">
        <f>ROUND(C78/H78,6)</f>
        <v>3.5799999999999997E-4</v>
      </c>
      <c r="I79" s="115"/>
      <c r="N79" s="621"/>
      <c r="O79" s="621"/>
      <c r="P79" s="621"/>
      <c r="Q79" s="621"/>
      <c r="R79" s="621"/>
      <c r="S79" s="621"/>
      <c r="T79" s="625">
        <f>ROUND(P78/T78,6)</f>
        <v>3.5799999999999997E-4</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72.37</v>
      </c>
      <c r="D81" s="575" t="s">
        <v>441</v>
      </c>
      <c r="E81" s="575"/>
      <c r="F81" s="575"/>
      <c r="G81" s="575"/>
      <c r="H81" s="299">
        <f>'1461'!H81</f>
        <v>186371.69</v>
      </c>
      <c r="I81" s="113"/>
      <c r="N81" s="620" t="s">
        <v>442</v>
      </c>
      <c r="O81" s="621"/>
      <c r="P81" s="41">
        <f>P30</f>
        <v>72.37</v>
      </c>
      <c r="Q81" s="656" t="s">
        <v>443</v>
      </c>
      <c r="R81" s="657"/>
      <c r="S81" s="657"/>
      <c r="T81" s="624">
        <f>H81</f>
        <v>186371.69</v>
      </c>
      <c r="U81" s="624"/>
    </row>
    <row r="82" spans="1:21" x14ac:dyDescent="0.25">
      <c r="B82" s="69"/>
      <c r="G82" s="42" t="s">
        <v>12</v>
      </c>
      <c r="H82" s="114">
        <f>ROUND(C81/H81,6)</f>
        <v>3.88E-4</v>
      </c>
      <c r="I82" s="115"/>
      <c r="N82" s="621"/>
      <c r="O82" s="621"/>
      <c r="P82" s="621"/>
      <c r="Q82" s="621"/>
      <c r="R82" s="621"/>
      <c r="S82" s="621"/>
      <c r="T82" s="625">
        <f>ROUND(P81/T81,6)</f>
        <v>3.88E-4</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3.5799999999999997E-4</v>
      </c>
      <c r="I85" s="101">
        <f>ROUND(F85*H85,2)</f>
        <v>15931.95</v>
      </c>
      <c r="N85" s="466" t="s">
        <v>478</v>
      </c>
      <c r="O85" s="51"/>
      <c r="P85" s="51"/>
      <c r="Q85" s="44"/>
      <c r="R85" s="433">
        <f>F85</f>
        <v>44502646</v>
      </c>
      <c r="S85" s="38" t="s">
        <v>6</v>
      </c>
      <c r="T85" s="435">
        <f>T79</f>
        <v>3.5799999999999997E-4</v>
      </c>
      <c r="U85" s="486">
        <f>ROUND(R85*T85,2)</f>
        <v>15931.95</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3.57E-4</v>
      </c>
      <c r="I88" s="101">
        <f>ROUND(F88*H88,2)</f>
        <v>0</v>
      </c>
      <c r="N88" s="658" t="s">
        <v>99</v>
      </c>
      <c r="O88" s="621"/>
      <c r="P88" s="621"/>
      <c r="Q88" s="44"/>
      <c r="R88" s="433">
        <f>F88</f>
        <v>0</v>
      </c>
      <c r="S88" s="38" t="s">
        <v>6</v>
      </c>
      <c r="T88" s="435">
        <f>T70</f>
        <v>3.57E-4</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3.88E-4</v>
      </c>
      <c r="I90" s="101">
        <f>ROUND(F90*H90,2)</f>
        <v>6327.96</v>
      </c>
      <c r="N90" s="466" t="s">
        <v>479</v>
      </c>
      <c r="O90" s="51"/>
      <c r="P90" s="51"/>
      <c r="Q90" s="44"/>
      <c r="R90" s="433">
        <f>F90</f>
        <v>16309168</v>
      </c>
      <c r="S90" s="38" t="s">
        <v>6</v>
      </c>
      <c r="T90" s="435">
        <f>T82</f>
        <v>3.88E-4</v>
      </c>
      <c r="U90" s="486">
        <f>ROUND(R90*T90,2)</f>
        <v>6327.96</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3.88E-4</v>
      </c>
      <c r="I92" s="101">
        <f t="shared" ref="I92:I96" si="14">ROUND(F92*H92,2)</f>
        <v>3937.68</v>
      </c>
      <c r="N92" s="466" t="s">
        <v>480</v>
      </c>
      <c r="O92" s="51"/>
      <c r="P92" s="51"/>
      <c r="Q92" s="44"/>
      <c r="R92" s="433">
        <f t="shared" ref="R92:R96" si="15">F92</f>
        <v>10148654</v>
      </c>
      <c r="S92" s="38" t="s">
        <v>6</v>
      </c>
      <c r="T92" s="435">
        <f>T76</f>
        <v>3.88E-4</v>
      </c>
      <c r="U92" s="486">
        <f>ROUND(R92*T92,2)</f>
        <v>3937.68</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4.35E-4</v>
      </c>
      <c r="I94" s="101">
        <f t="shared" si="14"/>
        <v>103963.99</v>
      </c>
      <c r="N94" s="621" t="s">
        <v>445</v>
      </c>
      <c r="O94" s="621"/>
      <c r="P94" s="621"/>
      <c r="Q94" s="44"/>
      <c r="R94" s="433">
        <f t="shared" si="15"/>
        <v>238997674</v>
      </c>
      <c r="S94" s="38" t="s">
        <v>6</v>
      </c>
      <c r="T94" s="435">
        <f>T73</f>
        <v>3.1700000000000001E-4</v>
      </c>
      <c r="U94" s="486">
        <f>ROUND(R94*T94,2)</f>
        <v>75762.259999999995</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4.35E-4</v>
      </c>
      <c r="I96" s="101">
        <f t="shared" si="14"/>
        <v>0</v>
      </c>
      <c r="N96" s="620" t="s">
        <v>446</v>
      </c>
      <c r="O96" s="621"/>
      <c r="P96" s="621"/>
      <c r="Q96" s="44"/>
      <c r="R96" s="433">
        <f t="shared" si="15"/>
        <v>0</v>
      </c>
      <c r="S96" s="38" t="s">
        <v>6</v>
      </c>
      <c r="T96" s="435">
        <f>T73</f>
        <v>3.1700000000000001E-4</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3.57E-4</v>
      </c>
      <c r="I98" s="101">
        <f t="shared" ref="I98" si="16">ROUND(F98*H98,2)</f>
        <v>0</v>
      </c>
      <c r="N98" s="542" t="s">
        <v>525</v>
      </c>
      <c r="O98" s="542"/>
      <c r="P98" s="542"/>
      <c r="Q98" s="44"/>
      <c r="R98" s="545">
        <f>F98</f>
        <v>0</v>
      </c>
      <c r="S98" s="543" t="s">
        <v>6</v>
      </c>
      <c r="T98" s="435">
        <f>T70</f>
        <v>3.57E-4</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81"/>
      <c r="B100" s="69"/>
      <c r="C100" s="69"/>
      <c r="D100" s="69"/>
      <c r="E100" s="43"/>
      <c r="F100" s="117"/>
      <c r="G100" s="37"/>
      <c r="H100" s="436"/>
      <c r="I100" s="101"/>
      <c r="N100" s="397"/>
      <c r="O100" s="45"/>
      <c r="P100" s="45"/>
      <c r="Q100" s="44"/>
      <c r="R100" s="434"/>
      <c r="S100" s="38"/>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0</v>
      </c>
      <c r="D104" s="614"/>
      <c r="E104" s="46">
        <f>H8</f>
        <v>1.0442</v>
      </c>
      <c r="F104" s="302">
        <f>'1461'!F104</f>
        <v>947.59</v>
      </c>
      <c r="G104" s="39" t="s">
        <v>12</v>
      </c>
      <c r="H104" s="101">
        <f>ROUND(C104*E104*F104,2)</f>
        <v>0</v>
      </c>
      <c r="I104" s="104"/>
      <c r="N104" s="28" t="s">
        <v>17</v>
      </c>
      <c r="O104" s="47">
        <f>T14+T15+T20+T23+T26</f>
        <v>0</v>
      </c>
      <c r="P104" s="631">
        <f>T8</f>
        <v>1.0442</v>
      </c>
      <c r="Q104" s="631"/>
      <c r="R104" s="48">
        <f>F104</f>
        <v>947.59</v>
      </c>
      <c r="S104" s="40" t="s">
        <v>12</v>
      </c>
      <c r="T104" s="492">
        <f>ROUND(O104*P104*R104,2)</f>
        <v>0</v>
      </c>
      <c r="U104" s="102"/>
    </row>
    <row r="105" spans="1:21" x14ac:dyDescent="0.25">
      <c r="A105" s="49"/>
      <c r="B105" s="49" t="s">
        <v>104</v>
      </c>
      <c r="C105" s="614">
        <f>H16+H17+H21+H24+H27</f>
        <v>0</v>
      </c>
      <c r="D105" s="614"/>
      <c r="E105" s="46">
        <f>H8</f>
        <v>1.0442</v>
      </c>
      <c r="F105" s="302">
        <f>'1461'!F105</f>
        <v>904.74</v>
      </c>
      <c r="G105" s="39" t="s">
        <v>12</v>
      </c>
      <c r="H105" s="101">
        <f>ROUND(C105*E105*F105,2)</f>
        <v>0</v>
      </c>
      <c r="N105" s="50" t="s">
        <v>13</v>
      </c>
      <c r="O105" s="47">
        <f>T16+T17+T21+T24+T27</f>
        <v>0</v>
      </c>
      <c r="P105" s="631">
        <f>T8</f>
        <v>1.0442</v>
      </c>
      <c r="Q105" s="631"/>
      <c r="R105" s="48">
        <f>F105</f>
        <v>904.74</v>
      </c>
      <c r="S105" s="40" t="s">
        <v>12</v>
      </c>
      <c r="T105" s="492">
        <f>ROUND(O105*P105*R105,2)</f>
        <v>0</v>
      </c>
      <c r="U105" s="51"/>
    </row>
    <row r="106" spans="1:21" ht="16.5" thickBot="1" x14ac:dyDescent="0.3">
      <c r="A106" s="52"/>
      <c r="B106" s="52" t="s">
        <v>103</v>
      </c>
      <c r="C106" s="614">
        <f>H18+H19+H22+H25+H28+H29</f>
        <v>99.306700000000006</v>
      </c>
      <c r="D106" s="614"/>
      <c r="E106" s="46">
        <f>H8</f>
        <v>1.0442</v>
      </c>
      <c r="F106" s="302">
        <f>'1461'!F106</f>
        <v>906.93</v>
      </c>
      <c r="G106" s="39" t="s">
        <v>12</v>
      </c>
      <c r="H106" s="94">
        <f>ROUND(C106*E106*F106,2)</f>
        <v>94045.06</v>
      </c>
      <c r="N106" s="53" t="s">
        <v>14</v>
      </c>
      <c r="O106" s="54">
        <f>T18+T19+T22+T25+T28+T29</f>
        <v>72.37</v>
      </c>
      <c r="P106" s="631">
        <f>T8</f>
        <v>1.0442</v>
      </c>
      <c r="Q106" s="631"/>
      <c r="R106" s="48">
        <f>F106</f>
        <v>906.93</v>
      </c>
      <c r="S106" s="40" t="s">
        <v>12</v>
      </c>
      <c r="T106" s="492">
        <f>ROUND(O106*P106*R106,2)</f>
        <v>68535.570000000007</v>
      </c>
      <c r="U106" s="51"/>
    </row>
    <row r="107" spans="1:21" ht="16.5" thickBot="1" x14ac:dyDescent="0.3">
      <c r="A107" s="55"/>
      <c r="B107" s="122" t="s">
        <v>102</v>
      </c>
      <c r="C107" s="604">
        <f>SUM(C104:C106)</f>
        <v>99.306700000000006</v>
      </c>
      <c r="D107" s="604"/>
      <c r="E107" s="123"/>
      <c r="F107" s="123"/>
      <c r="G107" s="123"/>
      <c r="H107" s="124" t="s">
        <v>100</v>
      </c>
      <c r="I107" s="101">
        <f>IF(A1=75,0,H106+H105+H104)</f>
        <v>94045.06</v>
      </c>
      <c r="N107" s="56" t="s">
        <v>89</v>
      </c>
      <c r="O107" s="57">
        <f>SUM(O104:O106)</f>
        <v>72.37</v>
      </c>
      <c r="P107" s="632" t="s">
        <v>16</v>
      </c>
      <c r="Q107" s="633"/>
      <c r="R107" s="633"/>
      <c r="S107" s="633"/>
      <c r="T107" s="633"/>
      <c r="U107" s="486">
        <f>IF(N1=75,0,T106+T105+T104)</f>
        <v>68535.570000000007</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8"/>
      <c r="D110" s="8"/>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34</v>
      </c>
      <c r="D113" s="143">
        <v>36</v>
      </c>
      <c r="E113" s="116">
        <f>(C113+D113)/2</f>
        <v>35</v>
      </c>
      <c r="F113" s="126" t="s">
        <v>30</v>
      </c>
      <c r="G113" s="303">
        <f>'1461'!G113</f>
        <v>536</v>
      </c>
      <c r="I113" s="101">
        <f>ROUND(G113*E113,2)</f>
        <v>18760</v>
      </c>
      <c r="N113" s="650" t="s">
        <v>52</v>
      </c>
      <c r="O113" s="650"/>
      <c r="P113" s="630">
        <f>IF(H133=1,E113,0)</f>
        <v>35</v>
      </c>
      <c r="Q113" s="630"/>
      <c r="R113" s="630"/>
      <c r="S113" s="83" t="s">
        <v>30</v>
      </c>
      <c r="T113" s="58">
        <f>G113</f>
        <v>536</v>
      </c>
      <c r="U113" s="486">
        <f>ROUND(T113*P113,2)</f>
        <v>18760</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1175829.97</v>
      </c>
      <c r="N128" s="466"/>
      <c r="O128" s="465"/>
      <c r="P128" s="465"/>
      <c r="Q128" s="305"/>
      <c r="R128" s="305"/>
      <c r="S128" s="305"/>
      <c r="T128" s="305"/>
      <c r="U128" s="493">
        <f>SUM(U30,U85,U88,U90,U92,U94,U96,U107,U113,U114,U124,U126)</f>
        <v>577658.41</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1133553.24</v>
      </c>
      <c r="N130" s="621" t="s">
        <v>457</v>
      </c>
      <c r="O130" s="621"/>
      <c r="P130" s="621"/>
      <c r="Q130" s="621"/>
      <c r="R130" s="621"/>
      <c r="S130" s="621"/>
      <c r="T130" s="621"/>
      <c r="U130" s="132">
        <f>U128-U53</f>
        <v>554626.11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530</v>
      </c>
      <c r="O132" s="621"/>
      <c r="P132" s="621"/>
      <c r="Q132" s="621"/>
      <c r="R132" s="621"/>
      <c r="S132" s="621"/>
      <c r="T132" s="621"/>
      <c r="U132" s="138"/>
    </row>
    <row r="133" spans="1:21" x14ac:dyDescent="0.25">
      <c r="A133" s="596" t="s">
        <v>70</v>
      </c>
      <c r="B133" s="596"/>
      <c r="C133" s="596"/>
      <c r="D133" s="596"/>
      <c r="E133" s="596"/>
      <c r="F133" s="596"/>
      <c r="G133" s="596"/>
      <c r="H133" s="70">
        <f>IF(E30=0,"",IF((E15+E17+SUM(E19:E25))/E30&gt;0.75,1,""))</f>
        <v>1</v>
      </c>
      <c r="I133" s="116">
        <f>U130</f>
        <v>554626.11</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554626.11</v>
      </c>
      <c r="I135" s="94">
        <f>ROUND(IF(E30=0,0,IF(E30&gt;250,-(((250/E30)*H135)*IF(G135="H",0.02,0.05)),IF(G135="H",-0.02*H135,-0.05*H135))),2)</f>
        <v>-27731.31</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1148098.6599999999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-1140250.7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7847.9599999999627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7847.96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54" t="str">
        <f>'1461'!A152</f>
        <v>(a) Additional FTE includes FTE earned through Advanced Placement, International Baccalaureate, Advanced International Certificate of Education, Industry Certified Career</v>
      </c>
      <c r="B152" s="355"/>
      <c r="C152" s="355"/>
      <c r="D152" s="355"/>
      <c r="E152" s="355"/>
      <c r="F152" s="355"/>
      <c r="G152" s="355"/>
      <c r="H152" s="355"/>
      <c r="I152" s="355"/>
      <c r="J152" s="77"/>
      <c r="K152" s="76"/>
      <c r="L152" s="76"/>
      <c r="M152" s="76"/>
      <c r="N152" s="73"/>
      <c r="O152" s="73"/>
      <c r="P152" s="73"/>
      <c r="Q152" s="73"/>
      <c r="R152" s="73"/>
      <c r="S152" s="73"/>
      <c r="T152" s="73"/>
      <c r="U152" s="73"/>
    </row>
    <row r="153" spans="1:21" ht="15.75" customHeight="1" x14ac:dyDescent="0.25">
      <c r="A153" s="360" t="s">
        <v>394</v>
      </c>
      <c r="B153" s="355"/>
      <c r="C153" s="355"/>
      <c r="D153" s="355"/>
      <c r="E153" s="355"/>
      <c r="F153" s="355"/>
      <c r="G153" s="355"/>
      <c r="H153" s="355"/>
      <c r="I153" s="355"/>
      <c r="J153" s="77"/>
      <c r="K153" s="76"/>
      <c r="L153" s="76"/>
      <c r="M153" s="76"/>
      <c r="N153" s="73"/>
      <c r="O153" s="73"/>
      <c r="P153" s="73"/>
      <c r="Q153" s="73"/>
      <c r="R153" s="73"/>
      <c r="S153" s="73"/>
      <c r="T153" s="73"/>
      <c r="U153" s="73"/>
    </row>
    <row r="154" spans="1:21" x14ac:dyDescent="0.25">
      <c r="A154" s="354" t="s">
        <v>395</v>
      </c>
      <c r="B154" s="356"/>
      <c r="C154" s="356"/>
      <c r="D154" s="356"/>
      <c r="E154" s="356"/>
      <c r="F154" s="356"/>
      <c r="G154" s="356"/>
      <c r="H154" s="356"/>
      <c r="I154" s="356"/>
      <c r="J154" s="76"/>
      <c r="K154" s="76"/>
      <c r="L154" s="76"/>
      <c r="M154" s="76"/>
      <c r="N154" s="73"/>
      <c r="O154" s="73"/>
      <c r="P154" s="73"/>
      <c r="Q154" s="73"/>
      <c r="R154" s="73"/>
      <c r="S154" s="73"/>
      <c r="T154" s="73"/>
      <c r="U154" s="73"/>
    </row>
    <row r="155" spans="1:21" s="76" customFormat="1" x14ac:dyDescent="0.2">
      <c r="A155" s="354" t="s">
        <v>396</v>
      </c>
      <c r="B155" s="356"/>
      <c r="C155" s="356"/>
      <c r="D155" s="356"/>
      <c r="E155" s="356"/>
      <c r="F155" s="356"/>
      <c r="G155" s="356"/>
      <c r="H155" s="356"/>
      <c r="I155" s="356"/>
      <c r="N155" s="645"/>
      <c r="O155" s="645"/>
      <c r="P155" s="645"/>
      <c r="Q155" s="645"/>
      <c r="R155" s="645"/>
      <c r="S155" s="645"/>
      <c r="T155" s="645"/>
      <c r="U155" s="645"/>
    </row>
    <row r="156" spans="1:21" s="76" customFormat="1" x14ac:dyDescent="0.2">
      <c r="A156" s="354" t="s">
        <v>397</v>
      </c>
      <c r="B156" s="356"/>
      <c r="C156" s="356"/>
      <c r="D156" s="356"/>
      <c r="E156" s="356"/>
      <c r="F156" s="356"/>
      <c r="G156" s="356"/>
      <c r="H156" s="356"/>
      <c r="I156" s="356"/>
      <c r="N156" s="73"/>
      <c r="O156" s="73"/>
      <c r="P156" s="73"/>
      <c r="Q156" s="73"/>
      <c r="R156" s="73"/>
      <c r="S156" s="73"/>
      <c r="T156" s="73"/>
      <c r="U156" s="73"/>
    </row>
    <row r="157" spans="1:21" s="76" customFormat="1" x14ac:dyDescent="0.2">
      <c r="A157" s="354" t="s">
        <v>398</v>
      </c>
      <c r="B157" s="356"/>
      <c r="C157" s="356"/>
      <c r="D157" s="356"/>
      <c r="E157" s="356"/>
      <c r="F157" s="356"/>
      <c r="G157" s="356"/>
      <c r="H157" s="356"/>
      <c r="I157" s="356"/>
      <c r="N157" s="78"/>
      <c r="O157" s="79"/>
      <c r="P157" s="79"/>
      <c r="Q157" s="79"/>
      <c r="R157" s="79"/>
      <c r="S157" s="79"/>
      <c r="T157" s="79"/>
      <c r="U157" s="79"/>
    </row>
    <row r="158" spans="1:21" s="76" customFormat="1" x14ac:dyDescent="0.2">
      <c r="A158" s="354" t="s">
        <v>399</v>
      </c>
      <c r="B158" s="356"/>
      <c r="C158" s="356"/>
      <c r="D158" s="356"/>
      <c r="E158" s="356"/>
      <c r="F158" s="356"/>
      <c r="G158" s="356"/>
      <c r="H158" s="356"/>
      <c r="I158" s="356"/>
      <c r="N158" s="78"/>
    </row>
    <row r="159" spans="1:21" s="76" customFormat="1" x14ac:dyDescent="0.2">
      <c r="A159" s="354" t="s">
        <v>401</v>
      </c>
      <c r="B159" s="356"/>
      <c r="C159" s="356"/>
      <c r="D159" s="356"/>
      <c r="E159" s="356"/>
      <c r="F159" s="356"/>
      <c r="G159" s="356"/>
      <c r="H159" s="356"/>
      <c r="I159" s="356"/>
      <c r="N159" s="78"/>
    </row>
    <row r="160" spans="1:21" s="76" customFormat="1" x14ac:dyDescent="0.2">
      <c r="A160" s="360" t="s">
        <v>400</v>
      </c>
      <c r="B160" s="356"/>
      <c r="C160" s="356"/>
      <c r="D160" s="356"/>
      <c r="E160" s="356"/>
      <c r="F160" s="356"/>
      <c r="G160" s="356"/>
      <c r="H160" s="356"/>
      <c r="I160" s="356"/>
      <c r="N160" s="78"/>
    </row>
    <row r="161" spans="1:14" s="76" customFormat="1" x14ac:dyDescent="0.2">
      <c r="A161" s="354" t="s">
        <v>402</v>
      </c>
      <c r="B161" s="356"/>
      <c r="C161" s="356"/>
      <c r="D161" s="356"/>
      <c r="E161" s="356"/>
      <c r="F161" s="356"/>
      <c r="G161" s="356"/>
      <c r="H161" s="356"/>
      <c r="I161" s="356"/>
      <c r="N161" s="78"/>
    </row>
    <row r="162" spans="1:14" s="76" customFormat="1" x14ac:dyDescent="0.2">
      <c r="A162" s="360" t="str">
        <f>'1461'!A162</f>
        <v>"All Adjusted ESE Riders" should include only ESE Riders.</v>
      </c>
      <c r="B162" s="356"/>
      <c r="C162" s="356"/>
      <c r="D162" s="356"/>
      <c r="E162" s="356"/>
      <c r="F162" s="356"/>
      <c r="G162" s="356"/>
      <c r="H162" s="356"/>
      <c r="I162" s="356"/>
      <c r="N162" s="78"/>
    </row>
    <row r="163" spans="1:14" s="76" customFormat="1" x14ac:dyDescent="0.2">
      <c r="A163" s="354" t="s">
        <v>405</v>
      </c>
      <c r="B163" s="356"/>
      <c r="C163" s="356"/>
      <c r="D163" s="356"/>
      <c r="E163" s="356"/>
      <c r="F163" s="356"/>
      <c r="G163" s="356"/>
      <c r="H163" s="356"/>
      <c r="I163" s="356"/>
      <c r="N163" s="78"/>
    </row>
    <row r="164" spans="1:14" s="76" customFormat="1" ht="15.75" customHeight="1" x14ac:dyDescent="0.2">
      <c r="A164" s="354" t="str">
        <f>'1461'!A164</f>
        <v xml:space="preserve">(j) Funding based on student eligibility and meals provided, if participating in the National School Lunch Program. </v>
      </c>
      <c r="B164" s="356"/>
      <c r="C164" s="356"/>
      <c r="D164" s="356"/>
      <c r="E164" s="356"/>
      <c r="F164" s="356"/>
      <c r="G164" s="356"/>
      <c r="H164" s="356"/>
      <c r="I164" s="356"/>
      <c r="N164" s="78"/>
    </row>
    <row r="165" spans="1:14" s="76" customFormat="1" ht="15.75" customHeight="1" x14ac:dyDescent="0.2">
      <c r="A165" s="354" t="s">
        <v>407</v>
      </c>
      <c r="B165" s="356"/>
      <c r="C165" s="356"/>
      <c r="D165" s="356"/>
      <c r="E165" s="356"/>
      <c r="F165" s="356"/>
      <c r="G165" s="356"/>
      <c r="H165" s="356"/>
      <c r="I165" s="356"/>
      <c r="N165" s="78"/>
    </row>
    <row r="166" spans="1:14" s="76" customFormat="1" ht="15.75" customHeight="1" x14ac:dyDescent="0.2">
      <c r="A166" s="360" t="s">
        <v>406</v>
      </c>
      <c r="B166" s="356"/>
      <c r="C166" s="356"/>
      <c r="D166" s="356"/>
      <c r="E166" s="356"/>
      <c r="F166" s="356"/>
      <c r="G166" s="356"/>
      <c r="H166" s="356"/>
      <c r="I166" s="356"/>
      <c r="N166" s="78"/>
    </row>
    <row r="167" spans="1:14" s="76" customFormat="1" ht="15.75" customHeight="1" x14ac:dyDescent="0.2">
      <c r="A167" s="354" t="s">
        <v>408</v>
      </c>
      <c r="B167" s="356"/>
      <c r="C167" s="356"/>
      <c r="D167" s="356"/>
      <c r="E167" s="356"/>
      <c r="F167" s="356"/>
      <c r="G167" s="356"/>
      <c r="H167" s="356"/>
      <c r="I167" s="356"/>
      <c r="N167" s="78"/>
    </row>
    <row r="168" spans="1:14" s="76" customFormat="1" ht="15.75" customHeight="1" x14ac:dyDescent="0.2">
      <c r="A168" s="360"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54" t="s">
        <v>410</v>
      </c>
      <c r="B169" s="356"/>
      <c r="C169" s="356"/>
      <c r="D169" s="356"/>
      <c r="E169" s="356"/>
      <c r="F169" s="356"/>
      <c r="G169" s="356"/>
      <c r="H169" s="356"/>
      <c r="I169" s="356"/>
      <c r="N169" s="78"/>
    </row>
    <row r="170" spans="1:14" s="76" customFormat="1" ht="15.75" customHeight="1" x14ac:dyDescent="0.2">
      <c r="A170" s="360" t="s">
        <v>409</v>
      </c>
      <c r="B170" s="356"/>
      <c r="C170" s="356"/>
      <c r="D170" s="356"/>
      <c r="E170" s="356"/>
      <c r="F170" s="356"/>
      <c r="G170" s="356"/>
      <c r="H170" s="356"/>
      <c r="I170" s="356"/>
      <c r="N170" s="78"/>
    </row>
    <row r="171" spans="1:14" s="76" customFormat="1" ht="15.75" customHeight="1" x14ac:dyDescent="0.2">
      <c r="A171" s="354"/>
      <c r="B171" s="356"/>
      <c r="C171" s="356"/>
      <c r="D171" s="356"/>
      <c r="E171" s="356"/>
      <c r="F171" s="356"/>
      <c r="G171" s="356"/>
      <c r="H171" s="356"/>
      <c r="I171" s="356"/>
      <c r="N171" s="78"/>
    </row>
    <row r="172" spans="1:14" s="76" customFormat="1" ht="15.75" customHeight="1" x14ac:dyDescent="0.25">
      <c r="A172" s="367" t="str">
        <f>'1461'!A172</f>
        <v>Administrative fees:</v>
      </c>
      <c r="B172" s="356"/>
      <c r="C172" s="356"/>
      <c r="D172" s="356"/>
      <c r="E172" s="356"/>
      <c r="F172" s="356"/>
      <c r="G172" s="356"/>
      <c r="H172" s="356"/>
      <c r="I172" s="356"/>
      <c r="J172" s="3"/>
      <c r="K172" s="3"/>
      <c r="L172" s="3"/>
      <c r="M172" s="3"/>
      <c r="N172" s="78"/>
    </row>
    <row r="173" spans="1:14" s="76" customFormat="1" ht="15.75" customHeight="1" x14ac:dyDescent="0.25">
      <c r="A173" s="371" t="str">
        <f>'1461'!A173</f>
        <v xml:space="preserve">Administrative fees charged by the school district pursuant to s. 1002.33(20)(a), F.S., shall be calculated based upon 5% of available funds from the FEFP and categorical </v>
      </c>
      <c r="B173" s="359"/>
      <c r="C173" s="359"/>
      <c r="D173" s="359"/>
      <c r="E173" s="359"/>
      <c r="F173" s="359"/>
      <c r="G173" s="359"/>
      <c r="H173" s="359"/>
      <c r="I173" s="359"/>
      <c r="J173" s="3"/>
      <c r="K173" s="3"/>
      <c r="L173" s="3"/>
      <c r="M173" s="3"/>
      <c r="N173" s="78"/>
    </row>
    <row r="174" spans="1:14" s="76" customFormat="1" ht="15.75" customHeight="1" x14ac:dyDescent="0.25">
      <c r="A174" s="372" t="str">
        <f>'1461'!A174</f>
        <v>funding for which charter students may be eligible.  To calculate the administrative fee to be withheld for schools with more than 250 students, divide the school</v>
      </c>
      <c r="B174" s="366"/>
      <c r="C174" s="366"/>
      <c r="D174" s="366"/>
      <c r="E174" s="366"/>
      <c r="F174" s="366"/>
      <c r="G174" s="366"/>
      <c r="H174" s="366"/>
      <c r="I174" s="366"/>
      <c r="J174" s="3"/>
      <c r="K174" s="3"/>
      <c r="L174" s="3"/>
      <c r="M174" s="3"/>
      <c r="N174" s="78"/>
    </row>
    <row r="175" spans="1:14" s="76" customFormat="1" ht="15.75" customHeight="1" x14ac:dyDescent="0.25">
      <c r="A175" s="372" t="s">
        <v>411</v>
      </c>
      <c r="B175" s="366"/>
      <c r="C175" s="366"/>
      <c r="D175" s="366"/>
      <c r="E175" s="366"/>
      <c r="F175" s="366"/>
      <c r="G175" s="366"/>
      <c r="H175" s="366"/>
      <c r="I175" s="366"/>
      <c r="J175" s="3"/>
      <c r="K175" s="3"/>
      <c r="L175" s="3"/>
      <c r="M175" s="3"/>
      <c r="N175" s="78"/>
    </row>
    <row r="176" spans="1:14" s="76" customFormat="1" ht="15.75" customHeight="1" x14ac:dyDescent="0.2">
      <c r="A176" s="372" t="s">
        <v>412</v>
      </c>
      <c r="B176" s="366"/>
      <c r="C176" s="366"/>
      <c r="D176" s="366"/>
      <c r="E176" s="366"/>
      <c r="F176" s="366"/>
      <c r="G176" s="366"/>
      <c r="H176" s="366"/>
      <c r="I176" s="366"/>
      <c r="N176" s="78"/>
    </row>
    <row r="177" spans="1:21" s="76" customFormat="1" ht="15.75" customHeight="1" x14ac:dyDescent="0.2">
      <c r="A177" s="371"/>
      <c r="B177" s="366"/>
      <c r="C177" s="366"/>
      <c r="D177" s="366"/>
      <c r="E177" s="366"/>
      <c r="F177" s="366"/>
      <c r="G177" s="366"/>
      <c r="H177" s="366"/>
      <c r="I177" s="366"/>
      <c r="N177" s="78"/>
    </row>
    <row r="178" spans="1:21" ht="15.75" customHeight="1" x14ac:dyDescent="0.25">
      <c r="A178" s="371" t="str">
        <f>'1461'!A178</f>
        <v xml:space="preserve">For high performing charter schools, administrative fees charged by the school district shall be calculated based upon 2% of available funds from the FEFP and categorical </v>
      </c>
      <c r="B178" s="359"/>
      <c r="C178" s="359"/>
      <c r="D178" s="359"/>
      <c r="E178" s="359"/>
      <c r="F178" s="359"/>
      <c r="G178" s="359"/>
      <c r="H178" s="359"/>
      <c r="I178" s="359"/>
      <c r="J178" s="76"/>
      <c r="K178" s="76"/>
      <c r="L178" s="76"/>
      <c r="M178" s="76"/>
      <c r="N178" s="78"/>
      <c r="O178" s="76"/>
      <c r="P178" s="76"/>
      <c r="Q178" s="76"/>
      <c r="R178" s="76"/>
      <c r="S178" s="76"/>
      <c r="T178" s="76"/>
      <c r="U178" s="76"/>
    </row>
    <row r="179" spans="1:21" ht="15.75" customHeight="1" x14ac:dyDescent="0.25">
      <c r="A179" s="372" t="str">
        <f>'1461'!A179</f>
        <v>funding for which charter students may be eligible.  To calculate the administrative fee to be withheld for schools with more than 250 students, divide the school</v>
      </c>
      <c r="B179" s="359"/>
      <c r="C179" s="359"/>
      <c r="D179" s="359"/>
      <c r="E179" s="359"/>
      <c r="F179" s="359"/>
      <c r="G179" s="359"/>
      <c r="H179" s="359"/>
      <c r="I179" s="359"/>
      <c r="J179" s="76"/>
      <c r="K179" s="76"/>
      <c r="L179" s="76"/>
      <c r="M179" s="76"/>
      <c r="N179" s="74"/>
    </row>
    <row r="180" spans="1:21" s="76" customFormat="1" ht="15.75" customHeight="1" x14ac:dyDescent="0.25">
      <c r="A180" s="372" t="str">
        <f>'1461'!A180</f>
        <v xml:space="preserve">population into 250. Multiply that fraction times the funds available, then times 2%.  </v>
      </c>
      <c r="B180" s="359"/>
      <c r="C180" s="359"/>
      <c r="D180" s="359"/>
      <c r="E180" s="359"/>
      <c r="F180" s="359"/>
      <c r="G180" s="359"/>
      <c r="H180" s="359"/>
      <c r="I180" s="359"/>
      <c r="N180" s="74"/>
      <c r="O180" s="3"/>
      <c r="P180" s="3"/>
      <c r="Q180" s="3"/>
      <c r="R180" s="3"/>
      <c r="S180" s="3"/>
      <c r="T180" s="3"/>
      <c r="U180" s="3"/>
    </row>
    <row r="181" spans="1:21" x14ac:dyDescent="0.25">
      <c r="A181" s="354"/>
      <c r="B181" s="359"/>
      <c r="C181" s="359"/>
      <c r="D181" s="359"/>
      <c r="E181" s="359"/>
      <c r="F181" s="359"/>
      <c r="G181" s="359"/>
      <c r="H181" s="359"/>
      <c r="I181" s="359"/>
      <c r="N181" s="78"/>
      <c r="O181" s="76"/>
      <c r="P181" s="76"/>
      <c r="Q181" s="76"/>
      <c r="R181" s="76"/>
      <c r="S181" s="76"/>
      <c r="T181" s="76"/>
      <c r="U181" s="76"/>
    </row>
    <row r="182" spans="1:21" x14ac:dyDescent="0.25">
      <c r="A182" s="367" t="str">
        <f>'1461'!A182</f>
        <v>Other:</v>
      </c>
      <c r="B182" s="365"/>
      <c r="C182" s="365"/>
      <c r="D182" s="365"/>
      <c r="E182" s="365"/>
      <c r="F182" s="365"/>
      <c r="G182" s="365"/>
      <c r="H182" s="365"/>
      <c r="I182" s="365"/>
      <c r="N182" s="78"/>
      <c r="O182" s="76"/>
      <c r="P182" s="76"/>
      <c r="Q182" s="76"/>
      <c r="R182" s="76"/>
      <c r="S182" s="76"/>
      <c r="T182" s="76"/>
      <c r="U182" s="76"/>
    </row>
    <row r="183" spans="1:21" x14ac:dyDescent="0.25">
      <c r="A183" s="371" t="str">
        <f>'1461'!A183</f>
        <v>FEFP and categorical funding are recalculated during the year to reflect the revised number of full-time equivalent students reported during the survey periods designated</v>
      </c>
      <c r="B183" s="359"/>
      <c r="C183" s="359"/>
      <c r="D183" s="359"/>
      <c r="E183" s="359"/>
      <c r="F183" s="359"/>
      <c r="G183" s="359"/>
      <c r="H183" s="359"/>
      <c r="I183" s="359"/>
      <c r="N183" s="78"/>
      <c r="O183" s="76"/>
      <c r="P183" s="76"/>
      <c r="Q183" s="76"/>
      <c r="R183" s="76"/>
      <c r="S183" s="76"/>
      <c r="T183" s="76"/>
      <c r="U183" s="76"/>
    </row>
    <row r="184" spans="1:21" x14ac:dyDescent="0.25">
      <c r="A184" s="372" t="str">
        <f>'1461'!A184</f>
        <v>by the Commissioner of Education.</v>
      </c>
      <c r="B184" s="366"/>
      <c r="C184" s="366"/>
      <c r="D184" s="366"/>
      <c r="E184" s="366"/>
      <c r="F184" s="366"/>
      <c r="G184" s="366"/>
      <c r="H184" s="366"/>
      <c r="I184" s="366"/>
      <c r="N184" s="74"/>
    </row>
    <row r="185" spans="1:21" x14ac:dyDescent="0.25">
      <c r="A185" s="371" t="str">
        <f>'1461'!A185</f>
        <v>Revenues flow to districts from state sources and from county tax collectors on various distribution schedules.</v>
      </c>
      <c r="B185" s="359"/>
      <c r="C185" s="359"/>
      <c r="D185" s="359"/>
      <c r="E185" s="359"/>
      <c r="F185" s="359"/>
      <c r="G185" s="359"/>
      <c r="H185" s="359"/>
      <c r="I185" s="359"/>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topLeftCell="A22" workbookViewId="0">
      <selection activeCell="F51" sqref="F51:F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80" t="s">
        <v>15</v>
      </c>
      <c r="P1" s="681"/>
      <c r="Q1" s="681"/>
      <c r="R1" s="681"/>
      <c r="S1" s="681"/>
      <c r="T1" s="681"/>
      <c r="U1" s="681"/>
    </row>
    <row r="2" spans="1:21" ht="21" x14ac:dyDescent="0.35">
      <c r="A2" s="1" t="s">
        <v>112</v>
      </c>
      <c r="B2" s="2"/>
      <c r="C2" s="2"/>
      <c r="D2" s="2"/>
      <c r="E2" s="2"/>
      <c r="F2" s="2"/>
      <c r="G2" s="2"/>
      <c r="H2" s="2"/>
      <c r="I2" s="2"/>
      <c r="N2" s="682" t="s">
        <v>18</v>
      </c>
      <c r="O2" s="682"/>
      <c r="P2" s="682"/>
      <c r="Q2" s="682"/>
      <c r="R2" s="682"/>
      <c r="S2" s="682"/>
      <c r="T2" s="682"/>
      <c r="U2" s="682"/>
    </row>
    <row r="3" spans="1:21" x14ac:dyDescent="0.25">
      <c r="A3" s="81" t="str">
        <f>'1461'!A3</f>
        <v>Based on the FLDOE 2023-24 FEFP Final Calculation</v>
      </c>
      <c r="N3" s="647" t="str">
        <f>A3</f>
        <v>Based on the FLDOE 2023-24 FEFP Final Calculation</v>
      </c>
      <c r="O3" s="647"/>
      <c r="P3" s="647"/>
      <c r="Q3" s="647"/>
      <c r="R3" s="647"/>
      <c r="S3" s="647"/>
      <c r="T3" s="647"/>
      <c r="U3" s="647"/>
    </row>
    <row r="4" spans="1:21" x14ac:dyDescent="0.25">
      <c r="A4" s="586" t="s">
        <v>0</v>
      </c>
      <c r="B4" s="586"/>
      <c r="C4" s="587" t="s">
        <v>9</v>
      </c>
      <c r="D4" s="587"/>
      <c r="E4" s="587"/>
      <c r="F4" s="4" t="str">
        <f>'1461'!F4</f>
        <v>FY 2024 Final Payment</v>
      </c>
      <c r="G4" s="4"/>
      <c r="H4" s="4"/>
      <c r="I4" s="4"/>
      <c r="N4" s="683" t="s">
        <v>0</v>
      </c>
      <c r="O4" s="683"/>
      <c r="P4" s="684" t="str">
        <f>C4</f>
        <v>Palm Beach</v>
      </c>
      <c r="Q4" s="68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456</v>
      </c>
      <c r="B7" s="685"/>
      <c r="C7" s="685"/>
      <c r="D7" s="685"/>
      <c r="E7" s="685"/>
      <c r="F7" s="685"/>
      <c r="G7" s="685"/>
      <c r="H7" s="685"/>
      <c r="I7" s="685"/>
      <c r="N7" s="683" t="str">
        <f>A7</f>
        <v>1A.   2023-24 FEFP State and Local Funding</v>
      </c>
      <c r="O7" s="683"/>
      <c r="P7" s="683"/>
      <c r="Q7" s="683"/>
      <c r="R7" s="683"/>
      <c r="S7" s="683"/>
      <c r="T7" s="683"/>
      <c r="U7" s="683"/>
    </row>
    <row r="8" spans="1:21" x14ac:dyDescent="0.25">
      <c r="A8" s="84"/>
      <c r="B8" s="85" t="s">
        <v>92</v>
      </c>
      <c r="C8" s="298">
        <f>'1461'!C8</f>
        <v>5139.7299999999996</v>
      </c>
      <c r="D8" s="86"/>
      <c r="E8" s="87"/>
      <c r="F8" s="84"/>
      <c r="G8" s="85" t="s">
        <v>416</v>
      </c>
      <c r="H8" s="286">
        <f>'1461'!H8</f>
        <v>1.0442</v>
      </c>
      <c r="I8" s="75"/>
      <c r="N8" s="686" t="s">
        <v>10</v>
      </c>
      <c r="O8" s="686"/>
      <c r="P8" s="672">
        <f>C8</f>
        <v>5139.7299999999996</v>
      </c>
      <c r="Q8" s="672"/>
      <c r="R8" s="673" t="s">
        <v>417</v>
      </c>
      <c r="S8" s="674"/>
      <c r="T8" s="668">
        <f>H8</f>
        <v>1.0442</v>
      </c>
      <c r="U8" s="668"/>
    </row>
    <row r="9" spans="1:21" x14ac:dyDescent="0.25">
      <c r="A9" s="84"/>
      <c r="B9" s="85"/>
      <c r="C9" s="222"/>
      <c r="D9" s="86"/>
      <c r="E9" s="87"/>
      <c r="F9" s="84"/>
      <c r="G9" s="85" t="s">
        <v>414</v>
      </c>
      <c r="H9" s="286">
        <f>'1461'!H9</f>
        <v>1</v>
      </c>
      <c r="I9" s="75"/>
      <c r="N9" s="12"/>
      <c r="O9" s="12"/>
      <c r="P9" s="13"/>
      <c r="Q9" s="13"/>
      <c r="R9" s="401" t="s">
        <v>415</v>
      </c>
      <c r="S9" s="398"/>
      <c r="T9" s="668">
        <f>H9</f>
        <v>1</v>
      </c>
      <c r="U9" s="668"/>
    </row>
    <row r="10" spans="1:21" x14ac:dyDescent="0.25">
      <c r="A10" s="7"/>
      <c r="B10" s="42" t="s">
        <v>329</v>
      </c>
      <c r="C10" s="349" t="str">
        <f>'1461'!C10</f>
        <v xml:space="preserve"> </v>
      </c>
      <c r="D10" s="349" t="str">
        <f>'1461'!D10</f>
        <v xml:space="preserve"> </v>
      </c>
      <c r="E10" s="8"/>
      <c r="F10" s="9"/>
      <c r="G10" s="9"/>
      <c r="H10" s="10"/>
      <c r="I10" s="304" t="str">
        <f>'1461'!I10</f>
        <v>2023-24</v>
      </c>
      <c r="N10" s="12"/>
      <c r="O10" s="12"/>
      <c r="P10" s="13"/>
      <c r="Q10" s="13"/>
      <c r="R10" s="14"/>
      <c r="S10" s="14"/>
      <c r="T10" s="15"/>
      <c r="U10" s="380" t="str">
        <f>I10</f>
        <v>2023-24</v>
      </c>
    </row>
    <row r="11" spans="1:21" x14ac:dyDescent="0.25">
      <c r="A11" s="7"/>
      <c r="B11" s="7"/>
      <c r="C11" s="88" t="str">
        <f>'1461'!C11</f>
        <v>Oct 2023</v>
      </c>
      <c r="D11" s="348" t="str">
        <f>'1461'!D11</f>
        <v>Feb 2024</v>
      </c>
      <c r="E11" s="89" t="s">
        <v>8</v>
      </c>
      <c r="F11" s="589" t="s">
        <v>1</v>
      </c>
      <c r="G11" s="589"/>
      <c r="H11" s="10" t="s">
        <v>60</v>
      </c>
      <c r="I11" s="11" t="s">
        <v>27</v>
      </c>
      <c r="N11" s="12"/>
      <c r="O11" s="12"/>
      <c r="P11" s="13"/>
      <c r="Q11" s="13"/>
      <c r="R11" s="669" t="s">
        <v>1</v>
      </c>
      <c r="S11" s="669"/>
      <c r="T11" s="15" t="s">
        <v>60</v>
      </c>
      <c r="U11" s="16" t="s">
        <v>27</v>
      </c>
    </row>
    <row r="12" spans="1:21" ht="15.75" customHeight="1" x14ac:dyDescent="0.25">
      <c r="A12" s="590" t="s">
        <v>1</v>
      </c>
      <c r="B12" s="590"/>
      <c r="C12" s="339" t="str">
        <f>'1461'!C12</f>
        <v>FTE</v>
      </c>
      <c r="D12" s="339" t="str">
        <f>'1461'!D12</f>
        <v>FTE</v>
      </c>
      <c r="E12" s="339" t="s">
        <v>2</v>
      </c>
      <c r="F12" s="591" t="s">
        <v>63</v>
      </c>
      <c r="G12" s="591"/>
      <c r="H12" s="17" t="s">
        <v>59</v>
      </c>
      <c r="I12" s="402" t="s">
        <v>418</v>
      </c>
      <c r="N12" s="659" t="s">
        <v>1</v>
      </c>
      <c r="O12" s="659"/>
      <c r="P12" s="670" t="s">
        <v>19</v>
      </c>
      <c r="Q12" s="670"/>
      <c r="R12" s="671" t="s">
        <v>63</v>
      </c>
      <c r="S12" s="671"/>
      <c r="T12" s="18" t="s">
        <v>59</v>
      </c>
      <c r="U12" s="19" t="str">
        <f>I12</f>
        <v>(WFTE x BSA x CWF x SDF)</v>
      </c>
    </row>
    <row r="13" spans="1:21" x14ac:dyDescent="0.25">
      <c r="A13" s="592" t="s">
        <v>36</v>
      </c>
      <c r="B13" s="592"/>
      <c r="C13" s="91"/>
      <c r="D13" s="91"/>
      <c r="E13" s="92" t="s">
        <v>37</v>
      </c>
      <c r="F13" s="593" t="s">
        <v>38</v>
      </c>
      <c r="G13" s="593"/>
      <c r="H13" s="20" t="s">
        <v>39</v>
      </c>
      <c r="I13" s="21" t="s">
        <v>40</v>
      </c>
      <c r="N13" s="675" t="s">
        <v>36</v>
      </c>
      <c r="O13" s="675"/>
      <c r="P13" s="676" t="s">
        <v>37</v>
      </c>
      <c r="Q13" s="676"/>
      <c r="R13" s="677" t="s">
        <v>38</v>
      </c>
      <c r="S13" s="677"/>
      <c r="T13" s="22" t="s">
        <v>39</v>
      </c>
      <c r="U13" s="23" t="s">
        <v>40</v>
      </c>
    </row>
    <row r="14" spans="1:21" x14ac:dyDescent="0.25">
      <c r="A14" s="594" t="s">
        <v>20</v>
      </c>
      <c r="B14" s="594"/>
      <c r="C14" s="143">
        <v>0</v>
      </c>
      <c r="D14" s="141">
        <v>0</v>
      </c>
      <c r="E14" s="187">
        <f>IF(D$30=0,C14*2,C14+D14)</f>
        <v>0</v>
      </c>
      <c r="F14" s="687">
        <f>'1461'!F14:G14</f>
        <v>1.1220000000000001</v>
      </c>
      <c r="G14" s="687"/>
      <c r="H14" s="145">
        <f>ROUND(E14*F14,4)</f>
        <v>0</v>
      </c>
      <c r="I14" s="111">
        <f>ROUND(ROUND(ROUND(H14*$C$8,4)*($H$8),2)*(MAX($H$9,1)),2)</f>
        <v>0</v>
      </c>
      <c r="N14" s="661" t="s">
        <v>20</v>
      </c>
      <c r="O14" s="661"/>
      <c r="P14" s="662">
        <f t="shared" ref="P14:P29" si="0">IF($H$133=1,E14,0)</f>
        <v>0</v>
      </c>
      <c r="Q14" s="662"/>
      <c r="R14" s="678">
        <v>1</v>
      </c>
      <c r="S14" s="678"/>
      <c r="T14" s="95">
        <f>ROUND(P14*R14,4)</f>
        <v>0</v>
      </c>
      <c r="U14" s="486">
        <f>ROUND(ROUND(ROUND(T14*$C$8,4)*($H$8),2)*(MAX($H$9,1)),2)</f>
        <v>0</v>
      </c>
    </row>
    <row r="15" spans="1:21" x14ac:dyDescent="0.25">
      <c r="A15" s="596" t="s">
        <v>21</v>
      </c>
      <c r="B15" s="596"/>
      <c r="C15" s="143">
        <v>1</v>
      </c>
      <c r="D15" s="143">
        <v>0</v>
      </c>
      <c r="E15" s="116">
        <f>IF(D$30=0,C15*2,C15+D15)</f>
        <v>1</v>
      </c>
      <c r="F15" s="679">
        <f>'1461'!F15:G15</f>
        <v>1.1220000000000001</v>
      </c>
      <c r="G15" s="679"/>
      <c r="H15" s="80">
        <f t="shared" ref="H15:H29" si="1">ROUND(E15*F15,4)</f>
        <v>1.1220000000000001</v>
      </c>
      <c r="I15" s="101">
        <f t="shared" ref="I15:I29" si="2">ROUND(ROUND(ROUND(H15*$C$8,4)*($H$8),2)*(MAX($H$9,1)),2)</f>
        <v>6021.67</v>
      </c>
      <c r="J15" s="65" t="str">
        <f>IF(ROUND(E15,2)=ROUND(SUM(E57:E59),2)," ","CHECK PK-3 LINES BELOW")</f>
        <v xml:space="preserve"> </v>
      </c>
      <c r="N15" s="621" t="s">
        <v>21</v>
      </c>
      <c r="O15" s="621"/>
      <c r="P15" s="662">
        <f t="shared" si="0"/>
        <v>1</v>
      </c>
      <c r="Q15" s="662"/>
      <c r="R15" s="667">
        <v>1</v>
      </c>
      <c r="S15" s="667"/>
      <c r="T15" s="95">
        <f t="shared" ref="T15:T29" si="3">ROUND(P15*R15,4)</f>
        <v>1</v>
      </c>
      <c r="U15" s="486">
        <f t="shared" ref="U15:U29" si="4">ROUND(ROUND(ROUND(T15*$C$8,4)*($H$8),2)*(MAX($H$9,1)),2)</f>
        <v>5366.91</v>
      </c>
    </row>
    <row r="16" spans="1:21" x14ac:dyDescent="0.25">
      <c r="A16" s="596" t="s">
        <v>22</v>
      </c>
      <c r="B16" s="596"/>
      <c r="C16" s="143">
        <v>0</v>
      </c>
      <c r="D16" s="143">
        <v>0</v>
      </c>
      <c r="E16" s="116">
        <f t="shared" ref="E16:E29" si="5">IF(D$30=0,C16*2,C16+D16)</f>
        <v>0</v>
      </c>
      <c r="F16" s="679">
        <f>'1461'!F16:G16</f>
        <v>1</v>
      </c>
      <c r="G16" s="679"/>
      <c r="H16" s="80">
        <f t="shared" si="1"/>
        <v>0</v>
      </c>
      <c r="I16" s="101">
        <f t="shared" si="2"/>
        <v>0</v>
      </c>
      <c r="N16" s="621" t="s">
        <v>22</v>
      </c>
      <c r="O16" s="621"/>
      <c r="P16" s="662">
        <f t="shared" si="0"/>
        <v>0</v>
      </c>
      <c r="Q16" s="662"/>
      <c r="R16" s="667">
        <v>1</v>
      </c>
      <c r="S16" s="667"/>
      <c r="T16" s="95">
        <f t="shared" si="3"/>
        <v>0</v>
      </c>
      <c r="U16" s="486">
        <f t="shared" si="4"/>
        <v>0</v>
      </c>
    </row>
    <row r="17" spans="1:21" x14ac:dyDescent="0.25">
      <c r="A17" s="596" t="s">
        <v>23</v>
      </c>
      <c r="B17" s="596"/>
      <c r="C17" s="143">
        <v>0</v>
      </c>
      <c r="D17" s="143">
        <v>0</v>
      </c>
      <c r="E17" s="116">
        <f t="shared" si="5"/>
        <v>0</v>
      </c>
      <c r="F17" s="679">
        <f>'1461'!F17:G17</f>
        <v>1</v>
      </c>
      <c r="G17" s="679"/>
      <c r="H17" s="80">
        <f t="shared" si="1"/>
        <v>0</v>
      </c>
      <c r="I17" s="101">
        <f t="shared" si="2"/>
        <v>0</v>
      </c>
      <c r="J17" s="65" t="str">
        <f>IF(ROUND(E17,2)=ROUND(SUM(E60:E62),2)," ","CHECK 4-8 LINES BELOW")</f>
        <v xml:space="preserve"> </v>
      </c>
      <c r="N17" s="621" t="s">
        <v>23</v>
      </c>
      <c r="O17" s="621"/>
      <c r="P17" s="662">
        <f t="shared" si="0"/>
        <v>0</v>
      </c>
      <c r="Q17" s="662"/>
      <c r="R17" s="667">
        <v>1</v>
      </c>
      <c r="S17" s="667"/>
      <c r="T17" s="95">
        <f t="shared" si="3"/>
        <v>0</v>
      </c>
      <c r="U17" s="486">
        <f t="shared" si="4"/>
        <v>0</v>
      </c>
    </row>
    <row r="18" spans="1:21" x14ac:dyDescent="0.25">
      <c r="A18" s="596" t="s">
        <v>24</v>
      </c>
      <c r="B18" s="596"/>
      <c r="C18" s="143">
        <v>0</v>
      </c>
      <c r="D18" s="143">
        <v>0</v>
      </c>
      <c r="E18" s="116">
        <f t="shared" si="5"/>
        <v>0</v>
      </c>
      <c r="F18" s="679">
        <f>'1461'!F18:G18</f>
        <v>0.98799999999999999</v>
      </c>
      <c r="G18" s="679"/>
      <c r="H18" s="80">
        <f t="shared" si="1"/>
        <v>0</v>
      </c>
      <c r="I18" s="101">
        <f t="shared" si="2"/>
        <v>0</v>
      </c>
      <c r="N18" s="621" t="s">
        <v>24</v>
      </c>
      <c r="O18" s="621"/>
      <c r="P18" s="662">
        <f t="shared" si="0"/>
        <v>0</v>
      </c>
      <c r="Q18" s="662"/>
      <c r="R18" s="667">
        <v>1</v>
      </c>
      <c r="S18" s="667"/>
      <c r="T18" s="95">
        <f t="shared" si="3"/>
        <v>0</v>
      </c>
      <c r="U18" s="486">
        <f t="shared" si="4"/>
        <v>0</v>
      </c>
    </row>
    <row r="19" spans="1:21" x14ac:dyDescent="0.25">
      <c r="A19" s="596" t="s">
        <v>25</v>
      </c>
      <c r="B19" s="596"/>
      <c r="C19" s="143">
        <v>0</v>
      </c>
      <c r="D19" s="143">
        <v>0</v>
      </c>
      <c r="E19" s="116">
        <f t="shared" si="5"/>
        <v>0</v>
      </c>
      <c r="F19" s="679">
        <f>'1461'!F19:G19</f>
        <v>0.98799999999999999</v>
      </c>
      <c r="G19" s="679"/>
      <c r="H19" s="80">
        <f t="shared" si="1"/>
        <v>0</v>
      </c>
      <c r="I19" s="101">
        <f t="shared" si="2"/>
        <v>0</v>
      </c>
      <c r="J19" s="65" t="str">
        <f>IF(ROUND(E19,2)=ROUND(SUM(E63:E65),2)," ","CHECK 4-8 LINES BELOW")</f>
        <v xml:space="preserve"> </v>
      </c>
      <c r="N19" s="621" t="s">
        <v>25</v>
      </c>
      <c r="O19" s="621"/>
      <c r="P19" s="662">
        <f t="shared" si="0"/>
        <v>0</v>
      </c>
      <c r="Q19" s="662"/>
      <c r="R19" s="667">
        <v>1</v>
      </c>
      <c r="S19" s="667"/>
      <c r="T19" s="95">
        <f t="shared" si="3"/>
        <v>0</v>
      </c>
      <c r="U19" s="485">
        <f t="shared" si="4"/>
        <v>0</v>
      </c>
    </row>
    <row r="20" spans="1:21" x14ac:dyDescent="0.25">
      <c r="A20" s="596" t="s">
        <v>79</v>
      </c>
      <c r="B20" s="596"/>
      <c r="C20" s="143">
        <v>1.5</v>
      </c>
      <c r="D20" s="143">
        <v>1.5</v>
      </c>
      <c r="E20" s="116">
        <f t="shared" si="5"/>
        <v>3</v>
      </c>
      <c r="F20" s="679">
        <f>'1461'!F20:G20</f>
        <v>3.706</v>
      </c>
      <c r="G20" s="679"/>
      <c r="H20" s="80">
        <f t="shared" si="1"/>
        <v>11.118</v>
      </c>
      <c r="I20" s="101">
        <f t="shared" si="2"/>
        <v>59669.26</v>
      </c>
      <c r="N20" s="621" t="s">
        <v>79</v>
      </c>
      <c r="O20" s="621"/>
      <c r="P20" s="662">
        <f t="shared" si="0"/>
        <v>3</v>
      </c>
      <c r="Q20" s="662"/>
      <c r="R20" s="667">
        <v>1</v>
      </c>
      <c r="S20" s="667"/>
      <c r="T20" s="95">
        <f t="shared" si="3"/>
        <v>3</v>
      </c>
      <c r="U20" s="486">
        <f t="shared" si="4"/>
        <v>16100.72</v>
      </c>
    </row>
    <row r="21" spans="1:21" x14ac:dyDescent="0.25">
      <c r="A21" s="596" t="s">
        <v>80</v>
      </c>
      <c r="B21" s="596"/>
      <c r="C21" s="143">
        <v>2</v>
      </c>
      <c r="D21" s="143">
        <v>1.5</v>
      </c>
      <c r="E21" s="116">
        <f t="shared" si="5"/>
        <v>3.5</v>
      </c>
      <c r="F21" s="679">
        <f>'1461'!F21:G21</f>
        <v>3.706</v>
      </c>
      <c r="G21" s="679"/>
      <c r="H21" s="80">
        <f t="shared" si="1"/>
        <v>12.971</v>
      </c>
      <c r="I21" s="101">
        <f t="shared" si="2"/>
        <v>69614.14</v>
      </c>
      <c r="N21" s="621" t="s">
        <v>80</v>
      </c>
      <c r="O21" s="621"/>
      <c r="P21" s="662">
        <f t="shared" si="0"/>
        <v>3.5</v>
      </c>
      <c r="Q21" s="662"/>
      <c r="R21" s="667">
        <v>1</v>
      </c>
      <c r="S21" s="667"/>
      <c r="T21" s="95">
        <f t="shared" si="3"/>
        <v>3.5</v>
      </c>
      <c r="U21" s="486">
        <f t="shared" si="4"/>
        <v>18784.169999999998</v>
      </c>
    </row>
    <row r="22" spans="1:21" x14ac:dyDescent="0.25">
      <c r="A22" s="596" t="s">
        <v>81</v>
      </c>
      <c r="B22" s="596"/>
      <c r="C22" s="143">
        <v>0</v>
      </c>
      <c r="D22" s="143">
        <v>0</v>
      </c>
      <c r="E22" s="116">
        <f t="shared" si="5"/>
        <v>0</v>
      </c>
      <c r="F22" s="679">
        <f>'1461'!F22:G22</f>
        <v>3.706</v>
      </c>
      <c r="G22" s="679"/>
      <c r="H22" s="80">
        <f t="shared" si="1"/>
        <v>0</v>
      </c>
      <c r="I22" s="101">
        <f t="shared" si="2"/>
        <v>0</v>
      </c>
      <c r="N22" s="621" t="s">
        <v>81</v>
      </c>
      <c r="O22" s="621"/>
      <c r="P22" s="662">
        <f t="shared" si="0"/>
        <v>0</v>
      </c>
      <c r="Q22" s="662"/>
      <c r="R22" s="667">
        <v>1</v>
      </c>
      <c r="S22" s="667"/>
      <c r="T22" s="95">
        <f t="shared" si="3"/>
        <v>0</v>
      </c>
      <c r="U22" s="486">
        <f t="shared" si="4"/>
        <v>0</v>
      </c>
    </row>
    <row r="23" spans="1:21" x14ac:dyDescent="0.25">
      <c r="A23" s="596" t="s">
        <v>82</v>
      </c>
      <c r="B23" s="596"/>
      <c r="C23" s="143">
        <v>2.0099999999999998</v>
      </c>
      <c r="D23" s="143">
        <v>3</v>
      </c>
      <c r="E23" s="116">
        <f t="shared" si="5"/>
        <v>5.01</v>
      </c>
      <c r="F23" s="679">
        <f>'1461'!F23:G23</f>
        <v>5.7069999999999999</v>
      </c>
      <c r="G23" s="679"/>
      <c r="H23" s="80">
        <f t="shared" si="1"/>
        <v>28.592099999999999</v>
      </c>
      <c r="I23" s="101">
        <f t="shared" si="2"/>
        <v>153451.10999999999</v>
      </c>
      <c r="N23" s="621" t="s">
        <v>82</v>
      </c>
      <c r="O23" s="621"/>
      <c r="P23" s="662">
        <f t="shared" si="0"/>
        <v>5.01</v>
      </c>
      <c r="Q23" s="662"/>
      <c r="R23" s="667">
        <v>1</v>
      </c>
      <c r="S23" s="667"/>
      <c r="T23" s="95">
        <f t="shared" si="3"/>
        <v>5.01</v>
      </c>
      <c r="U23" s="486">
        <f t="shared" si="4"/>
        <v>26888.2</v>
      </c>
    </row>
    <row r="24" spans="1:21" x14ac:dyDescent="0.25">
      <c r="A24" s="596" t="s">
        <v>83</v>
      </c>
      <c r="B24" s="596"/>
      <c r="C24" s="143">
        <v>6.01</v>
      </c>
      <c r="D24" s="143">
        <v>5.5</v>
      </c>
      <c r="E24" s="116">
        <f t="shared" si="5"/>
        <v>11.51</v>
      </c>
      <c r="F24" s="679">
        <f>'1461'!F24:G24</f>
        <v>5.7069999999999999</v>
      </c>
      <c r="G24" s="679"/>
      <c r="H24" s="80">
        <f t="shared" si="1"/>
        <v>65.687600000000003</v>
      </c>
      <c r="I24" s="101">
        <f t="shared" si="2"/>
        <v>352539.18</v>
      </c>
      <c r="N24" s="621" t="s">
        <v>83</v>
      </c>
      <c r="O24" s="621"/>
      <c r="P24" s="662">
        <f t="shared" si="0"/>
        <v>11.51</v>
      </c>
      <c r="Q24" s="662"/>
      <c r="R24" s="667">
        <v>1</v>
      </c>
      <c r="S24" s="667"/>
      <c r="T24" s="95">
        <f t="shared" si="3"/>
        <v>11.51</v>
      </c>
      <c r="U24" s="486">
        <f t="shared" si="4"/>
        <v>61773.09</v>
      </c>
    </row>
    <row r="25" spans="1:21" x14ac:dyDescent="0.25">
      <c r="A25" s="596" t="s">
        <v>84</v>
      </c>
      <c r="B25" s="596"/>
      <c r="C25" s="143">
        <v>0</v>
      </c>
      <c r="D25" s="143">
        <v>0</v>
      </c>
      <c r="E25" s="116">
        <f t="shared" si="5"/>
        <v>0</v>
      </c>
      <c r="F25" s="679">
        <f>'1461'!F25:G25</f>
        <v>5.7069999999999999</v>
      </c>
      <c r="G25" s="679"/>
      <c r="H25" s="80">
        <f t="shared" si="1"/>
        <v>0</v>
      </c>
      <c r="I25" s="101">
        <f t="shared" si="2"/>
        <v>0</v>
      </c>
      <c r="N25" s="621" t="s">
        <v>84</v>
      </c>
      <c r="O25" s="621"/>
      <c r="P25" s="662">
        <f t="shared" si="0"/>
        <v>0</v>
      </c>
      <c r="Q25" s="662"/>
      <c r="R25" s="667">
        <v>1</v>
      </c>
      <c r="S25" s="667"/>
      <c r="T25" s="95">
        <f t="shared" si="3"/>
        <v>0</v>
      </c>
      <c r="U25" s="486">
        <f t="shared" si="4"/>
        <v>0</v>
      </c>
    </row>
    <row r="26" spans="1:21" x14ac:dyDescent="0.25">
      <c r="A26" s="596" t="s">
        <v>85</v>
      </c>
      <c r="B26" s="596"/>
      <c r="C26" s="143">
        <v>0</v>
      </c>
      <c r="D26" s="143">
        <v>0</v>
      </c>
      <c r="E26" s="116">
        <f t="shared" si="5"/>
        <v>0</v>
      </c>
      <c r="F26" s="679">
        <f>'1461'!F26:G26</f>
        <v>1.208</v>
      </c>
      <c r="G26" s="679"/>
      <c r="H26" s="80">
        <f t="shared" si="1"/>
        <v>0</v>
      </c>
      <c r="I26" s="101">
        <f t="shared" si="2"/>
        <v>0</v>
      </c>
      <c r="N26" s="621" t="s">
        <v>85</v>
      </c>
      <c r="O26" s="621"/>
      <c r="P26" s="662">
        <f t="shared" si="0"/>
        <v>0</v>
      </c>
      <c r="Q26" s="662"/>
      <c r="R26" s="667">
        <v>1</v>
      </c>
      <c r="S26" s="667"/>
      <c r="T26" s="95">
        <f t="shared" si="3"/>
        <v>0</v>
      </c>
      <c r="U26" s="486">
        <f t="shared" si="4"/>
        <v>0</v>
      </c>
    </row>
    <row r="27" spans="1:21" x14ac:dyDescent="0.25">
      <c r="A27" s="596" t="s">
        <v>86</v>
      </c>
      <c r="B27" s="596"/>
      <c r="C27" s="143">
        <v>0</v>
      </c>
      <c r="D27" s="143">
        <v>0</v>
      </c>
      <c r="E27" s="116">
        <f t="shared" si="5"/>
        <v>0</v>
      </c>
      <c r="F27" s="679">
        <f>'1461'!F27:G27</f>
        <v>1.208</v>
      </c>
      <c r="G27" s="679"/>
      <c r="H27" s="80">
        <f t="shared" si="1"/>
        <v>0</v>
      </c>
      <c r="I27" s="101">
        <f t="shared" si="2"/>
        <v>0</v>
      </c>
      <c r="N27" s="621" t="s">
        <v>86</v>
      </c>
      <c r="O27" s="621"/>
      <c r="P27" s="662">
        <f t="shared" si="0"/>
        <v>0</v>
      </c>
      <c r="Q27" s="662"/>
      <c r="R27" s="667">
        <v>1</v>
      </c>
      <c r="S27" s="667"/>
      <c r="T27" s="95">
        <f t="shared" si="3"/>
        <v>0</v>
      </c>
      <c r="U27" s="486">
        <f t="shared" si="4"/>
        <v>0</v>
      </c>
    </row>
    <row r="28" spans="1:21" x14ac:dyDescent="0.25">
      <c r="A28" s="596" t="s">
        <v>87</v>
      </c>
      <c r="B28" s="596"/>
      <c r="C28" s="143">
        <v>0</v>
      </c>
      <c r="D28" s="143">
        <v>0</v>
      </c>
      <c r="E28" s="116">
        <f t="shared" si="5"/>
        <v>0</v>
      </c>
      <c r="F28" s="679">
        <f>'1461'!F28:G28</f>
        <v>1.208</v>
      </c>
      <c r="G28" s="679"/>
      <c r="H28" s="80">
        <f t="shared" si="1"/>
        <v>0</v>
      </c>
      <c r="I28" s="101">
        <f t="shared" si="2"/>
        <v>0</v>
      </c>
      <c r="N28" s="621" t="s">
        <v>87</v>
      </c>
      <c r="O28" s="621"/>
      <c r="P28" s="662">
        <f t="shared" si="0"/>
        <v>0</v>
      </c>
      <c r="Q28" s="662"/>
      <c r="R28" s="667">
        <v>1</v>
      </c>
      <c r="S28" s="667"/>
      <c r="T28" s="95">
        <f t="shared" si="3"/>
        <v>0</v>
      </c>
      <c r="U28" s="486">
        <f t="shared" si="4"/>
        <v>0</v>
      </c>
    </row>
    <row r="29" spans="1:21" x14ac:dyDescent="0.25">
      <c r="A29" s="596" t="s">
        <v>88</v>
      </c>
      <c r="B29" s="596"/>
      <c r="C29" s="110">
        <v>0</v>
      </c>
      <c r="D29" s="110">
        <v>0</v>
      </c>
      <c r="E29" s="154">
        <f t="shared" si="5"/>
        <v>0</v>
      </c>
      <c r="F29" s="679">
        <f>'1461'!F29:G29</f>
        <v>1.0720000000000001</v>
      </c>
      <c r="G29" s="679"/>
      <c r="H29" s="93">
        <f t="shared" si="1"/>
        <v>0</v>
      </c>
      <c r="I29" s="94">
        <f t="shared" si="2"/>
        <v>0</v>
      </c>
      <c r="N29" s="636" t="s">
        <v>88</v>
      </c>
      <c r="O29" s="636"/>
      <c r="P29" s="662">
        <f t="shared" si="0"/>
        <v>0</v>
      </c>
      <c r="Q29" s="662"/>
      <c r="R29" s="663">
        <v>1</v>
      </c>
      <c r="S29" s="663"/>
      <c r="T29" s="95">
        <f t="shared" si="3"/>
        <v>0</v>
      </c>
      <c r="U29" s="486">
        <f t="shared" si="4"/>
        <v>0</v>
      </c>
    </row>
    <row r="30" spans="1:21" x14ac:dyDescent="0.25">
      <c r="A30" s="608" t="s">
        <v>5</v>
      </c>
      <c r="B30" s="608"/>
      <c r="C30" s="94">
        <f>SUM(C14:C29)</f>
        <v>12.52</v>
      </c>
      <c r="D30" s="94">
        <f>SUM(D14:D29)</f>
        <v>11.5</v>
      </c>
      <c r="E30" s="94">
        <f>SUM(E14:E29)</f>
        <v>24.02</v>
      </c>
      <c r="F30" s="600"/>
      <c r="G30" s="600"/>
      <c r="H30" s="99">
        <f>SUM(H14:H29)</f>
        <v>119.4907</v>
      </c>
      <c r="I30" s="94">
        <f>SUM(I14:I29)</f>
        <v>641295.35999999999</v>
      </c>
      <c r="N30" s="664" t="s">
        <v>5</v>
      </c>
      <c r="O30" s="664"/>
      <c r="P30" s="665">
        <f>SUM(P14:P29)</f>
        <v>24.02</v>
      </c>
      <c r="Q30" s="665"/>
      <c r="R30" s="637"/>
      <c r="S30" s="637"/>
      <c r="T30" s="100">
        <f>SUM(T14:T29)</f>
        <v>24.02</v>
      </c>
      <c r="U30" s="486">
        <f>SUM(U14:U29)</f>
        <v>128913.09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91" t="s">
        <v>233</v>
      </c>
      <c r="G34" s="691"/>
      <c r="H34" s="691"/>
      <c r="I34" s="101"/>
      <c r="N34" s="28"/>
      <c r="O34" s="28"/>
      <c r="P34" s="29"/>
      <c r="Q34" s="29"/>
      <c r="R34" s="30"/>
      <c r="S34" s="30"/>
      <c r="T34" s="102"/>
      <c r="U34" s="103"/>
    </row>
    <row r="35" spans="1:21" hidden="1" x14ac:dyDescent="0.25">
      <c r="A35" s="3"/>
      <c r="B35" s="69"/>
      <c r="C35" s="69"/>
      <c r="D35" s="69"/>
      <c r="E35" s="69"/>
      <c r="F35" s="691"/>
      <c r="G35" s="691"/>
      <c r="H35" s="691"/>
      <c r="I35" s="24" t="s">
        <v>61</v>
      </c>
      <c r="N35" s="647" t="s">
        <v>26</v>
      </c>
      <c r="O35" s="647"/>
      <c r="P35" s="647"/>
      <c r="Q35" s="647"/>
      <c r="R35" s="647"/>
      <c r="S35" s="647"/>
      <c r="T35" s="647"/>
      <c r="U35" s="25" t="str">
        <f>I35</f>
        <v>2015-16</v>
      </c>
    </row>
    <row r="36" spans="1:21" hidden="1" x14ac:dyDescent="0.25">
      <c r="A36" s="26"/>
      <c r="B36" s="26"/>
      <c r="C36" s="88" t="s">
        <v>93</v>
      </c>
      <c r="D36" s="88" t="s">
        <v>94</v>
      </c>
      <c r="E36" s="89" t="s">
        <v>8</v>
      </c>
      <c r="F36" s="691"/>
      <c r="G36" s="691"/>
      <c r="H36" s="691"/>
      <c r="I36" s="24" t="s">
        <v>27</v>
      </c>
      <c r="N36" s="28"/>
      <c r="O36" s="28"/>
      <c r="P36" s="29"/>
      <c r="Q36" s="29"/>
      <c r="R36" s="30"/>
      <c r="S36" s="30"/>
      <c r="T36" s="102"/>
      <c r="U36" s="25" t="s">
        <v>27</v>
      </c>
    </row>
    <row r="37" spans="1:21" ht="26.25" hidden="1" x14ac:dyDescent="0.25">
      <c r="A37" s="590" t="s">
        <v>50</v>
      </c>
      <c r="B37" s="590"/>
      <c r="C37" s="90" t="s">
        <v>2</v>
      </c>
      <c r="D37" s="90" t="s">
        <v>2</v>
      </c>
      <c r="E37" s="90" t="s">
        <v>2</v>
      </c>
      <c r="F37" s="692"/>
      <c r="G37" s="692"/>
      <c r="H37" s="692"/>
      <c r="I37" s="31" t="s">
        <v>418</v>
      </c>
      <c r="N37" s="659" t="s">
        <v>50</v>
      </c>
      <c r="O37" s="659"/>
      <c r="P37" s="660" t="s">
        <v>19</v>
      </c>
      <c r="Q37" s="660"/>
      <c r="R37" s="660"/>
      <c r="S37" s="660"/>
      <c r="T37" s="660"/>
      <c r="U37" s="19" t="str">
        <f>I37</f>
        <v>(WFTE x BSA x CWF x SDF)</v>
      </c>
    </row>
    <row r="38" spans="1:21" hidden="1" x14ac:dyDescent="0.25">
      <c r="A38" s="594" t="s">
        <v>45</v>
      </c>
      <c r="B38" s="594"/>
      <c r="C38" s="147">
        <v>0</v>
      </c>
      <c r="D38" s="147">
        <v>0</v>
      </c>
      <c r="E38" s="187">
        <f t="shared" ref="E38:E43" si="6">IF(D$44=0,C38*2,C38+D38)</f>
        <v>0</v>
      </c>
      <c r="F38" s="148"/>
      <c r="G38" s="148"/>
      <c r="H38" s="148"/>
      <c r="I38" s="111">
        <f>ROUND(ROUND(ROUND(E38*$C$8,4)*($H$8),2)*(MAX($H$9,1)),2)</f>
        <v>0</v>
      </c>
      <c r="N38" s="661" t="s">
        <v>45</v>
      </c>
      <c r="O38" s="661"/>
      <c r="P38" s="628">
        <f t="shared" ref="P38:P43" si="7">IF($H$133=1,E38,0)</f>
        <v>0</v>
      </c>
      <c r="Q38" s="628"/>
      <c r="R38" s="628"/>
      <c r="S38" s="628"/>
      <c r="T38" s="628"/>
      <c r="U38" s="98">
        <f>ROUND(ROUND(ROUND(P38*$C$8,4)*($H$8),2)*(MAX($H$9,1)),2)</f>
        <v>0</v>
      </c>
    </row>
    <row r="39" spans="1:21" hidden="1" x14ac:dyDescent="0.25">
      <c r="A39" s="596" t="s">
        <v>46</v>
      </c>
      <c r="B39" s="596"/>
      <c r="C39" s="150">
        <v>0</v>
      </c>
      <c r="D39" s="150">
        <v>0</v>
      </c>
      <c r="E39" s="116">
        <f t="shared" si="6"/>
        <v>0</v>
      </c>
      <c r="F39" s="151"/>
      <c r="G39" s="151"/>
      <c r="H39" s="151"/>
      <c r="I39" s="101">
        <f t="shared" ref="I39:I43" si="8">ROUND(ROUND(ROUND(E39*$C$8,4)*($H$8),2)*(MAX($H$9,1)),2)</f>
        <v>0</v>
      </c>
      <c r="N39" s="621" t="s">
        <v>46</v>
      </c>
      <c r="O39" s="621"/>
      <c r="P39" s="628">
        <f t="shared" si="7"/>
        <v>0</v>
      </c>
      <c r="Q39" s="628"/>
      <c r="R39" s="628"/>
      <c r="S39" s="628"/>
      <c r="T39" s="628"/>
      <c r="U39" s="98">
        <f t="shared" ref="U39:U43" si="9">ROUND(ROUND(ROUND(P39*$C$8,4)*($H$8),2)*(MAX($H$9,1)),2)</f>
        <v>0</v>
      </c>
    </row>
    <row r="40" spans="1:21" hidden="1" x14ac:dyDescent="0.25">
      <c r="A40" s="601" t="s">
        <v>47</v>
      </c>
      <c r="B40" s="601"/>
      <c r="C40" s="150">
        <v>0</v>
      </c>
      <c r="D40" s="150">
        <v>0</v>
      </c>
      <c r="E40" s="116">
        <f t="shared" si="6"/>
        <v>0</v>
      </c>
      <c r="F40" s="151"/>
      <c r="G40" s="151"/>
      <c r="H40" s="151"/>
      <c r="I40" s="101">
        <f t="shared" si="8"/>
        <v>0</v>
      </c>
      <c r="N40" s="666" t="s">
        <v>47</v>
      </c>
      <c r="O40" s="666"/>
      <c r="P40" s="628">
        <f t="shared" si="7"/>
        <v>0</v>
      </c>
      <c r="Q40" s="628"/>
      <c r="R40" s="628"/>
      <c r="S40" s="628"/>
      <c r="T40" s="628"/>
      <c r="U40" s="98">
        <f t="shared" si="9"/>
        <v>0</v>
      </c>
    </row>
    <row r="41" spans="1:21" hidden="1" x14ac:dyDescent="0.25">
      <c r="A41" s="596" t="s">
        <v>48</v>
      </c>
      <c r="B41" s="596"/>
      <c r="C41" s="150">
        <v>0</v>
      </c>
      <c r="D41" s="150">
        <v>0</v>
      </c>
      <c r="E41" s="116">
        <f t="shared" si="6"/>
        <v>0</v>
      </c>
      <c r="F41" s="151"/>
      <c r="G41" s="151"/>
      <c r="H41" s="151"/>
      <c r="I41" s="101">
        <f t="shared" si="8"/>
        <v>0</v>
      </c>
      <c r="N41" s="621" t="s">
        <v>48</v>
      </c>
      <c r="O41" s="621"/>
      <c r="P41" s="628">
        <f t="shared" si="7"/>
        <v>0</v>
      </c>
      <c r="Q41" s="628"/>
      <c r="R41" s="628"/>
      <c r="S41" s="628"/>
      <c r="T41" s="628"/>
      <c r="U41" s="98">
        <f t="shared" si="9"/>
        <v>0</v>
      </c>
    </row>
    <row r="42" spans="1:21" hidden="1" x14ac:dyDescent="0.25">
      <c r="A42" s="596" t="s">
        <v>49</v>
      </c>
      <c r="B42" s="596"/>
      <c r="C42" s="150">
        <v>0</v>
      </c>
      <c r="D42" s="150">
        <v>0</v>
      </c>
      <c r="E42" s="116">
        <f t="shared" si="6"/>
        <v>0</v>
      </c>
      <c r="F42" s="151"/>
      <c r="G42" s="151"/>
      <c r="H42" s="151"/>
      <c r="I42" s="101">
        <f t="shared" si="8"/>
        <v>0</v>
      </c>
      <c r="N42" s="621" t="s">
        <v>49</v>
      </c>
      <c r="O42" s="621"/>
      <c r="P42" s="628">
        <f t="shared" si="7"/>
        <v>0</v>
      </c>
      <c r="Q42" s="628"/>
      <c r="R42" s="628"/>
      <c r="S42" s="628"/>
      <c r="T42" s="628"/>
      <c r="U42" s="98">
        <f t="shared" si="9"/>
        <v>0</v>
      </c>
    </row>
    <row r="43" spans="1:21" hidden="1" x14ac:dyDescent="0.25">
      <c r="A43" s="596" t="s">
        <v>41</v>
      </c>
      <c r="B43" s="596"/>
      <c r="C43" s="149">
        <v>0</v>
      </c>
      <c r="D43" s="149">
        <v>0</v>
      </c>
      <c r="E43" s="154">
        <f t="shared" si="6"/>
        <v>0</v>
      </c>
      <c r="F43" s="151"/>
      <c r="G43" s="151"/>
      <c r="H43" s="151"/>
      <c r="I43" s="94">
        <f t="shared" si="8"/>
        <v>0</v>
      </c>
      <c r="N43" s="636" t="s">
        <v>41</v>
      </c>
      <c r="O43" s="636"/>
      <c r="P43" s="628">
        <f t="shared" si="7"/>
        <v>0</v>
      </c>
      <c r="Q43" s="628"/>
      <c r="R43" s="628"/>
      <c r="S43" s="628"/>
      <c r="T43" s="62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3" t="s">
        <v>43</v>
      </c>
      <c r="O44" s="623"/>
      <c r="P44" s="623"/>
      <c r="Q44" s="623"/>
      <c r="R44" s="33">
        <f>SUM(P38:R43)</f>
        <v>0</v>
      </c>
      <c r="S44" s="637" t="s">
        <v>51</v>
      </c>
      <c r="T44" s="637"/>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119.4907</v>
      </c>
      <c r="F46" s="34"/>
      <c r="G46" s="106"/>
      <c r="H46" s="107" t="s">
        <v>98</v>
      </c>
      <c r="I46" s="94">
        <f>SUM(I44,I30)</f>
        <v>641295.35999999999</v>
      </c>
      <c r="N46" s="623" t="s">
        <v>44</v>
      </c>
      <c r="O46" s="623"/>
      <c r="P46" s="623"/>
      <c r="Q46" s="623"/>
      <c r="R46" s="35">
        <f>R44+T30</f>
        <v>24.02</v>
      </c>
      <c r="S46" s="637" t="s">
        <v>42</v>
      </c>
      <c r="T46" s="637"/>
      <c r="U46" s="108">
        <f>SUM(U44,U30)</f>
        <v>128913.09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419</v>
      </c>
      <c r="B48" s="26"/>
      <c r="C48" s="26"/>
      <c r="D48" s="26"/>
      <c r="E48" s="26"/>
      <c r="F48" s="34"/>
      <c r="G48" s="27"/>
      <c r="H48" s="27"/>
      <c r="I48" s="101"/>
      <c r="N48" s="397" t="s">
        <v>419</v>
      </c>
      <c r="O48" s="28"/>
      <c r="P48" s="28"/>
      <c r="Q48" s="28"/>
      <c r="R48" s="35"/>
      <c r="S48" s="30"/>
      <c r="T48" s="30"/>
      <c r="U48" s="416"/>
    </row>
    <row r="49" spans="1:22" s="405" customFormat="1" ht="9" customHeight="1" x14ac:dyDescent="0.2">
      <c r="A49" s="494" t="s">
        <v>420</v>
      </c>
      <c r="F49" s="406"/>
      <c r="G49" s="407"/>
      <c r="H49" s="407"/>
      <c r="I49" s="408"/>
      <c r="N49" s="417" t="s">
        <v>420</v>
      </c>
      <c r="O49" s="409"/>
      <c r="P49" s="409"/>
      <c r="Q49" s="409"/>
      <c r="R49" s="410"/>
      <c r="S49" s="411"/>
      <c r="T49" s="411"/>
      <c r="U49" s="418"/>
    </row>
    <row r="50" spans="1:22" s="405" customFormat="1" ht="11.25" customHeight="1" x14ac:dyDescent="0.2">
      <c r="A50" s="495" t="s">
        <v>421</v>
      </c>
      <c r="F50" s="406"/>
      <c r="G50" s="407"/>
      <c r="H50" s="407"/>
      <c r="I50" s="408"/>
      <c r="N50" s="419" t="s">
        <v>421</v>
      </c>
      <c r="O50" s="409"/>
      <c r="P50" s="409"/>
      <c r="Q50" s="409"/>
      <c r="R50" s="410"/>
      <c r="S50" s="411"/>
      <c r="T50" s="411"/>
      <c r="U50" s="418"/>
    </row>
    <row r="51" spans="1:22" x14ac:dyDescent="0.25">
      <c r="A51" s="403"/>
      <c r="B51" s="413" t="s">
        <v>422</v>
      </c>
      <c r="C51" s="26"/>
      <c r="D51" s="26"/>
      <c r="E51" s="43" t="s">
        <v>423</v>
      </c>
      <c r="F51" s="414">
        <v>684544.03</v>
      </c>
      <c r="G51" s="109" t="s">
        <v>6</v>
      </c>
      <c r="H51" s="415">
        <v>4.5199999999999997E-2</v>
      </c>
      <c r="I51" s="101">
        <f>ROUND(F51*H51,2)</f>
        <v>30941.39</v>
      </c>
      <c r="N51" s="420"/>
      <c r="O51" s="421" t="s">
        <v>422</v>
      </c>
      <c r="P51" s="28"/>
      <c r="Q51" s="44" t="s">
        <v>423</v>
      </c>
      <c r="R51" s="422">
        <f>U30</f>
        <v>128913.09</v>
      </c>
      <c r="S51" s="423" t="s">
        <v>6</v>
      </c>
      <c r="T51" s="424">
        <v>4.5199999999999997E-2</v>
      </c>
      <c r="U51" s="416">
        <f>ROUND(R51*T51,2)</f>
        <v>5826.87</v>
      </c>
    </row>
    <row r="52" spans="1:22" x14ac:dyDescent="0.25">
      <c r="A52" s="26"/>
      <c r="B52" s="81" t="s">
        <v>424</v>
      </c>
      <c r="C52" s="26"/>
      <c r="D52" s="26"/>
      <c r="E52" s="43" t="s">
        <v>423</v>
      </c>
      <c r="F52" s="414">
        <v>684544.03</v>
      </c>
      <c r="G52" s="109" t="s">
        <v>6</v>
      </c>
      <c r="H52" s="415">
        <v>1.41E-2</v>
      </c>
      <c r="I52" s="101">
        <f>ROUND(F52*H52,2)</f>
        <v>9652.07</v>
      </c>
      <c r="N52" s="28"/>
      <c r="O52" s="397" t="s">
        <v>424</v>
      </c>
      <c r="P52" s="28"/>
      <c r="Q52" s="44" t="s">
        <v>423</v>
      </c>
      <c r="R52" s="422">
        <f>U30</f>
        <v>128913.09</v>
      </c>
      <c r="S52" s="423" t="s">
        <v>6</v>
      </c>
      <c r="T52" s="424">
        <v>1.41E-2</v>
      </c>
      <c r="U52" s="425">
        <f>ROUND(R52*T52,2)</f>
        <v>1817.67</v>
      </c>
    </row>
    <row r="53" spans="1:22" x14ac:dyDescent="0.25">
      <c r="A53" s="26"/>
      <c r="B53" s="81" t="s">
        <v>425</v>
      </c>
      <c r="C53" s="26"/>
      <c r="D53" s="26"/>
      <c r="E53" s="43"/>
      <c r="F53" s="414"/>
      <c r="G53" s="109"/>
      <c r="H53" s="415"/>
      <c r="I53" s="97">
        <f>SUM(I51:I52)</f>
        <v>40593.46</v>
      </c>
      <c r="N53" s="28"/>
      <c r="O53" s="397" t="s">
        <v>425</v>
      </c>
      <c r="P53" s="28"/>
      <c r="Q53" s="44"/>
      <c r="R53" s="422"/>
      <c r="S53" s="423"/>
      <c r="T53" s="424"/>
      <c r="U53" s="416">
        <f>SUM(U51:U52)</f>
        <v>7644.54</v>
      </c>
    </row>
    <row r="54" spans="1:22" x14ac:dyDescent="0.25">
      <c r="C54" s="3" t="str">
        <f>'1461'!C54</f>
        <v/>
      </c>
      <c r="D54" s="3" t="str">
        <f>'1461'!D54</f>
        <v/>
      </c>
      <c r="G54" s="42"/>
      <c r="H54" s="114"/>
      <c r="I54" s="114"/>
      <c r="N54" s="459"/>
      <c r="O54" s="51"/>
      <c r="P54" s="51" t="str">
        <f>'1461'!P54</f>
        <v/>
      </c>
      <c r="Q54" s="51" t="str">
        <f>'1461'!Q54</f>
        <v/>
      </c>
      <c r="R54" s="51"/>
      <c r="S54" s="51"/>
      <c r="T54" s="475"/>
      <c r="U54" s="476"/>
      <c r="V54" s="114"/>
    </row>
    <row r="55" spans="1:22" x14ac:dyDescent="0.25">
      <c r="A55" s="458"/>
      <c r="B55" s="458"/>
      <c r="C55" s="88" t="str">
        <f>'1461'!C55</f>
        <v>Oct 2023</v>
      </c>
      <c r="D55" s="348" t="str">
        <f>'1461'!D55</f>
        <v>Feb 2024</v>
      </c>
      <c r="E55" s="89" t="s">
        <v>8</v>
      </c>
      <c r="F55" s="46" t="s">
        <v>463</v>
      </c>
      <c r="G55" s="109" t="s">
        <v>464</v>
      </c>
      <c r="H55" s="467" t="s">
        <v>465</v>
      </c>
      <c r="I55" s="101"/>
      <c r="N55" s="461"/>
      <c r="O55" s="461"/>
      <c r="P55" s="477"/>
      <c r="Q55" s="478"/>
      <c r="R55" s="479"/>
      <c r="S55" s="481" t="s">
        <v>464</v>
      </c>
      <c r="T55" s="482" t="s">
        <v>465</v>
      </c>
      <c r="U55" s="480"/>
      <c r="V55" s="438"/>
    </row>
    <row r="56" spans="1:22" x14ac:dyDescent="0.25">
      <c r="A56" s="36" t="s">
        <v>466</v>
      </c>
      <c r="B56" s="36"/>
      <c r="C56" s="339" t="str">
        <f>'1461'!C56</f>
        <v>FTE</v>
      </c>
      <c r="D56" s="339" t="str">
        <f>'1461'!D56</f>
        <v>FTE</v>
      </c>
      <c r="E56" s="90" t="s">
        <v>2</v>
      </c>
      <c r="F56" s="452" t="s">
        <v>467</v>
      </c>
      <c r="G56" s="454" t="s">
        <v>467</v>
      </c>
      <c r="H56" s="468" t="s">
        <v>468</v>
      </c>
      <c r="I56" s="36"/>
      <c r="N56" s="472" t="s">
        <v>466</v>
      </c>
      <c r="O56" s="472"/>
      <c r="P56" s="640" t="s">
        <v>2</v>
      </c>
      <c r="Q56" s="640"/>
      <c r="R56" s="472" t="s">
        <v>472</v>
      </c>
      <c r="S56" s="463" t="s">
        <v>467</v>
      </c>
      <c r="T56" s="483" t="s">
        <v>468</v>
      </c>
      <c r="U56" s="472"/>
      <c r="V56" s="471"/>
    </row>
    <row r="57" spans="1:22" x14ac:dyDescent="0.25">
      <c r="A57" s="606" t="s">
        <v>470</v>
      </c>
      <c r="B57" s="606"/>
      <c r="C57" s="143">
        <v>0</v>
      </c>
      <c r="D57" s="143">
        <v>0</v>
      </c>
      <c r="E57" s="116">
        <f t="shared" ref="E57:E65" si="10">IF(D$72=0,C57*2,C57+D57)</f>
        <v>0</v>
      </c>
      <c r="F57" s="456" t="s">
        <v>462</v>
      </c>
      <c r="G57" s="456">
        <v>251</v>
      </c>
      <c r="H57" s="470">
        <f>'1461'!H57</f>
        <v>1047</v>
      </c>
      <c r="I57" s="101">
        <f>ROUND(E57*H57,2)</f>
        <v>0</v>
      </c>
      <c r="N57" s="638" t="s">
        <v>470</v>
      </c>
      <c r="O57" s="638"/>
      <c r="P57" s="641"/>
      <c r="Q57" s="641"/>
      <c r="R57" s="462" t="s">
        <v>462</v>
      </c>
      <c r="S57" s="462">
        <v>251</v>
      </c>
      <c r="T57" s="473">
        <f>H57</f>
        <v>1047</v>
      </c>
      <c r="U57" s="487">
        <f>ROUND(P57*T57,2)</f>
        <v>0</v>
      </c>
      <c r="V57" s="438"/>
    </row>
    <row r="58" spans="1:22" x14ac:dyDescent="0.25">
      <c r="A58" s="607"/>
      <c r="B58" s="607"/>
      <c r="C58" s="143"/>
      <c r="D58" s="143">
        <v>0</v>
      </c>
      <c r="E58" s="116">
        <f t="shared" si="10"/>
        <v>0</v>
      </c>
      <c r="F58" s="456" t="s">
        <v>462</v>
      </c>
      <c r="G58" s="456">
        <v>252</v>
      </c>
      <c r="H58" s="470">
        <f>'1461'!H58</f>
        <v>3380</v>
      </c>
      <c r="I58" s="101">
        <f t="shared" ref="I58:I65" si="11">ROUND(E58*H58,2)</f>
        <v>0</v>
      </c>
      <c r="N58" s="639"/>
      <c r="O58" s="639"/>
      <c r="P58" s="642"/>
      <c r="Q58" s="642"/>
      <c r="R58" s="462" t="s">
        <v>462</v>
      </c>
      <c r="S58" s="462">
        <v>252</v>
      </c>
      <c r="T58" s="473">
        <f t="shared" ref="T58:T65" si="12">H58</f>
        <v>3380</v>
      </c>
      <c r="U58" s="487">
        <f t="shared" ref="U58:U65" si="13">ROUND(P58*T58,2)</f>
        <v>0</v>
      </c>
      <c r="V58" s="438"/>
    </row>
    <row r="59" spans="1:22" x14ac:dyDescent="0.25">
      <c r="A59" s="607"/>
      <c r="B59" s="607"/>
      <c r="C59" s="143">
        <v>1</v>
      </c>
      <c r="D59" s="143">
        <v>0</v>
      </c>
      <c r="E59" s="116">
        <v>1</v>
      </c>
      <c r="F59" s="456" t="s">
        <v>462</v>
      </c>
      <c r="G59" s="456">
        <v>253</v>
      </c>
      <c r="H59" s="470">
        <f>'1461'!H59</f>
        <v>6896</v>
      </c>
      <c r="I59" s="101">
        <f t="shared" si="11"/>
        <v>6896</v>
      </c>
      <c r="N59" s="639"/>
      <c r="O59" s="639"/>
      <c r="P59" s="642"/>
      <c r="Q59" s="642"/>
      <c r="R59" s="462" t="s">
        <v>462</v>
      </c>
      <c r="S59" s="462">
        <v>253</v>
      </c>
      <c r="T59" s="473">
        <f t="shared" si="12"/>
        <v>6896</v>
      </c>
      <c r="U59" s="487">
        <f t="shared" si="13"/>
        <v>0</v>
      </c>
      <c r="V59" s="438"/>
    </row>
    <row r="60" spans="1:22" x14ac:dyDescent="0.25">
      <c r="A60" s="607"/>
      <c r="B60" s="607"/>
      <c r="C60" s="143">
        <v>0</v>
      </c>
      <c r="D60" s="143">
        <v>0</v>
      </c>
      <c r="E60" s="116">
        <f t="shared" si="10"/>
        <v>0</v>
      </c>
      <c r="F60" s="457" t="s">
        <v>13</v>
      </c>
      <c r="G60" s="456">
        <v>251</v>
      </c>
      <c r="H60" s="470">
        <f>'1461'!H60</f>
        <v>1173</v>
      </c>
      <c r="I60" s="101">
        <f t="shared" si="11"/>
        <v>0</v>
      </c>
      <c r="N60" s="639"/>
      <c r="O60" s="639"/>
      <c r="P60" s="642"/>
      <c r="Q60" s="642"/>
      <c r="R60" s="40" t="s">
        <v>13</v>
      </c>
      <c r="S60" s="462">
        <v>251</v>
      </c>
      <c r="T60" s="473">
        <f t="shared" si="12"/>
        <v>1173</v>
      </c>
      <c r="U60" s="487">
        <f t="shared" si="13"/>
        <v>0</v>
      </c>
      <c r="V60" s="438"/>
    </row>
    <row r="61" spans="1:22" x14ac:dyDescent="0.25">
      <c r="A61" s="607"/>
      <c r="B61" s="607"/>
      <c r="C61" s="143">
        <v>0</v>
      </c>
      <c r="D61" s="143">
        <v>0</v>
      </c>
      <c r="E61" s="116">
        <f t="shared" si="10"/>
        <v>0</v>
      </c>
      <c r="F61" s="457" t="s">
        <v>13</v>
      </c>
      <c r="G61" s="456">
        <v>252</v>
      </c>
      <c r="H61" s="470">
        <f>'1461'!H61</f>
        <v>3506</v>
      </c>
      <c r="I61" s="101">
        <f t="shared" si="11"/>
        <v>0</v>
      </c>
      <c r="N61" s="639"/>
      <c r="O61" s="639"/>
      <c r="P61" s="642"/>
      <c r="Q61" s="642"/>
      <c r="R61" s="40" t="s">
        <v>13</v>
      </c>
      <c r="S61" s="462">
        <v>252</v>
      </c>
      <c r="T61" s="473">
        <f t="shared" si="12"/>
        <v>3506</v>
      </c>
      <c r="U61" s="487">
        <f t="shared" si="13"/>
        <v>0</v>
      </c>
      <c r="V61" s="438"/>
    </row>
    <row r="62" spans="1:22" x14ac:dyDescent="0.25">
      <c r="A62" s="607"/>
      <c r="B62" s="607"/>
      <c r="C62" s="143">
        <v>0</v>
      </c>
      <c r="D62" s="143">
        <v>0</v>
      </c>
      <c r="E62" s="116">
        <f t="shared" si="10"/>
        <v>0</v>
      </c>
      <c r="F62" s="457" t="s">
        <v>13</v>
      </c>
      <c r="G62" s="456">
        <v>253</v>
      </c>
      <c r="H62" s="470">
        <f>'1461'!H62</f>
        <v>7023</v>
      </c>
      <c r="I62" s="101">
        <f t="shared" si="11"/>
        <v>0</v>
      </c>
      <c r="N62" s="639"/>
      <c r="O62" s="639"/>
      <c r="P62" s="642"/>
      <c r="Q62" s="642"/>
      <c r="R62" s="40" t="s">
        <v>13</v>
      </c>
      <c r="S62" s="462">
        <v>253</v>
      </c>
      <c r="T62" s="473">
        <f t="shared" si="12"/>
        <v>7023</v>
      </c>
      <c r="U62" s="487">
        <f t="shared" si="13"/>
        <v>0</v>
      </c>
      <c r="V62" s="438"/>
    </row>
    <row r="63" spans="1:22" x14ac:dyDescent="0.25">
      <c r="A63" s="607"/>
      <c r="B63" s="607"/>
      <c r="C63" s="143">
        <v>0</v>
      </c>
      <c r="D63" s="143">
        <v>0</v>
      </c>
      <c r="E63" s="116">
        <f t="shared" si="10"/>
        <v>0</v>
      </c>
      <c r="F63" s="457" t="s">
        <v>14</v>
      </c>
      <c r="G63" s="456">
        <v>251</v>
      </c>
      <c r="H63" s="470">
        <f>'1461'!H63</f>
        <v>835</v>
      </c>
      <c r="I63" s="101">
        <f t="shared" si="11"/>
        <v>0</v>
      </c>
      <c r="N63" s="639"/>
      <c r="O63" s="639"/>
      <c r="P63" s="642"/>
      <c r="Q63" s="642"/>
      <c r="R63" s="40" t="s">
        <v>14</v>
      </c>
      <c r="S63" s="462">
        <v>251</v>
      </c>
      <c r="T63" s="473">
        <f t="shared" si="12"/>
        <v>835</v>
      </c>
      <c r="U63" s="487">
        <f t="shared" si="13"/>
        <v>0</v>
      </c>
      <c r="V63" s="438"/>
    </row>
    <row r="64" spans="1:22" x14ac:dyDescent="0.25">
      <c r="A64" s="607"/>
      <c r="B64" s="607"/>
      <c r="C64" s="143">
        <v>0</v>
      </c>
      <c r="D64" s="143">
        <v>0</v>
      </c>
      <c r="E64" s="116">
        <f t="shared" si="10"/>
        <v>0</v>
      </c>
      <c r="F64" s="457" t="s">
        <v>14</v>
      </c>
      <c r="G64" s="456">
        <v>252</v>
      </c>
      <c r="H64" s="470">
        <f>'1461'!H64</f>
        <v>3168</v>
      </c>
      <c r="I64" s="101">
        <f t="shared" si="11"/>
        <v>0</v>
      </c>
      <c r="N64" s="639"/>
      <c r="O64" s="639"/>
      <c r="P64" s="642"/>
      <c r="Q64" s="642"/>
      <c r="R64" s="40" t="s">
        <v>14</v>
      </c>
      <c r="S64" s="462">
        <v>252</v>
      </c>
      <c r="T64" s="473">
        <f t="shared" si="12"/>
        <v>3168</v>
      </c>
      <c r="U64" s="487">
        <f t="shared" si="13"/>
        <v>0</v>
      </c>
      <c r="V64" s="438"/>
    </row>
    <row r="65" spans="1:22" ht="16.5" thickBot="1" x14ac:dyDescent="0.3">
      <c r="A65" s="607"/>
      <c r="B65" s="607"/>
      <c r="C65" s="143">
        <v>0</v>
      </c>
      <c r="D65" s="143">
        <v>0</v>
      </c>
      <c r="E65" s="116">
        <f t="shared" si="10"/>
        <v>0</v>
      </c>
      <c r="F65" s="457" t="s">
        <v>14</v>
      </c>
      <c r="G65" s="456">
        <v>253</v>
      </c>
      <c r="H65" s="470">
        <f>'1461'!H65</f>
        <v>6685</v>
      </c>
      <c r="I65" s="101">
        <f t="shared" si="11"/>
        <v>0</v>
      </c>
      <c r="N65" s="639"/>
      <c r="O65" s="639"/>
      <c r="P65" s="643"/>
      <c r="Q65" s="643"/>
      <c r="R65" s="40" t="s">
        <v>14</v>
      </c>
      <c r="S65" s="462">
        <v>253</v>
      </c>
      <c r="T65" s="473">
        <f t="shared" si="12"/>
        <v>6685</v>
      </c>
      <c r="U65" s="488">
        <f t="shared" si="13"/>
        <v>0</v>
      </c>
      <c r="V65" s="438"/>
    </row>
    <row r="66" spans="1:22" ht="16.5" thickBot="1" x14ac:dyDescent="0.3">
      <c r="A66" s="453"/>
      <c r="C66" s="97">
        <f>SUM(C57:C65)</f>
        <v>1</v>
      </c>
      <c r="D66" s="97">
        <f>SUM(D57:D65)</f>
        <v>0</v>
      </c>
      <c r="E66" s="97">
        <f>SUM(E57:E65)</f>
        <v>1</v>
      </c>
      <c r="F66" s="608" t="s">
        <v>471</v>
      </c>
      <c r="G66" s="608"/>
      <c r="H66" s="608"/>
      <c r="I66" s="97">
        <f>SUM(I57:I65)</f>
        <v>6896</v>
      </c>
      <c r="N66" s="459"/>
      <c r="O66" s="51"/>
      <c r="P66" s="622">
        <f>SUM(P57:P65)</f>
        <v>0</v>
      </c>
      <c r="Q66" s="622"/>
      <c r="R66" s="623" t="s">
        <v>471</v>
      </c>
      <c r="S66" s="623"/>
      <c r="T66" s="623"/>
      <c r="U66" s="489">
        <f>SUM(U57:U65)</f>
        <v>0</v>
      </c>
      <c r="V66" s="438"/>
    </row>
    <row r="67" spans="1:22" x14ac:dyDescent="0.25">
      <c r="A67" s="453"/>
      <c r="C67" s="101"/>
      <c r="D67" s="101"/>
      <c r="E67" s="101"/>
      <c r="F67" s="458"/>
      <c r="G67" s="458"/>
      <c r="H67" s="458"/>
      <c r="I67" s="101"/>
      <c r="N67" s="459"/>
      <c r="O67" s="459"/>
      <c r="P67" s="459"/>
      <c r="Q67" s="459"/>
      <c r="R67" s="459"/>
      <c r="S67" s="459"/>
      <c r="T67" s="460"/>
      <c r="U67" s="460"/>
    </row>
    <row r="68" spans="1:22" x14ac:dyDescent="0.25">
      <c r="A68" s="455" t="s">
        <v>473</v>
      </c>
      <c r="N68" s="466" t="s">
        <v>481</v>
      </c>
      <c r="O68" s="51"/>
      <c r="P68" s="51"/>
      <c r="Q68" s="51"/>
      <c r="R68" s="51"/>
      <c r="S68" s="51"/>
      <c r="T68" s="51"/>
      <c r="U68" s="51"/>
    </row>
    <row r="69" spans="1:22" x14ac:dyDescent="0.25">
      <c r="A69" s="602" t="s">
        <v>426</v>
      </c>
      <c r="B69" s="596"/>
      <c r="C69" s="112">
        <f>E30</f>
        <v>24.02</v>
      </c>
      <c r="D69" s="583" t="s">
        <v>437</v>
      </c>
      <c r="E69" s="583"/>
      <c r="F69" s="583"/>
      <c r="G69" s="583"/>
      <c r="H69" s="299">
        <f>'1461'!H69</f>
        <v>202683.97</v>
      </c>
      <c r="I69" s="113"/>
      <c r="N69" s="620" t="s">
        <v>430</v>
      </c>
      <c r="O69" s="621"/>
      <c r="P69" s="41">
        <f>P30</f>
        <v>24.02</v>
      </c>
      <c r="Q69" s="626" t="s">
        <v>432</v>
      </c>
      <c r="R69" s="627"/>
      <c r="S69" s="627"/>
      <c r="T69" s="624">
        <f>H69</f>
        <v>202683.97</v>
      </c>
      <c r="U69" s="624"/>
    </row>
    <row r="70" spans="1:22" x14ac:dyDescent="0.25">
      <c r="B70" s="69"/>
      <c r="G70" s="42" t="s">
        <v>12</v>
      </c>
      <c r="H70" s="114">
        <f>ROUND(C69/H69,6)</f>
        <v>1.1900000000000001E-4</v>
      </c>
      <c r="I70" s="115"/>
      <c r="N70" s="621"/>
      <c r="O70" s="621"/>
      <c r="P70" s="621"/>
      <c r="Q70" s="621"/>
      <c r="R70" s="621"/>
      <c r="S70" s="621"/>
      <c r="T70" s="625">
        <f>ROUND(P69/T69,6)</f>
        <v>1.1900000000000001E-4</v>
      </c>
      <c r="U70" s="625"/>
    </row>
    <row r="71" spans="1:22" x14ac:dyDescent="0.25">
      <c r="A71" s="455" t="s">
        <v>474</v>
      </c>
      <c r="N71" s="466" t="s">
        <v>482</v>
      </c>
      <c r="O71" s="51"/>
      <c r="P71" s="51"/>
      <c r="Q71" s="51"/>
      <c r="R71" s="51"/>
      <c r="S71" s="51"/>
      <c r="T71" s="51"/>
      <c r="U71" s="51"/>
    </row>
    <row r="72" spans="1:22" x14ac:dyDescent="0.25">
      <c r="A72" s="602" t="s">
        <v>427</v>
      </c>
      <c r="B72" s="596"/>
      <c r="C72" s="112">
        <f>H30</f>
        <v>119.4907</v>
      </c>
      <c r="D72" s="583" t="s">
        <v>438</v>
      </c>
      <c r="E72" s="583"/>
      <c r="F72" s="583"/>
      <c r="G72" s="583"/>
      <c r="H72" s="300">
        <f>'1461'!H72</f>
        <v>228068.32</v>
      </c>
      <c r="I72" s="116"/>
      <c r="N72" s="620" t="s">
        <v>431</v>
      </c>
      <c r="O72" s="621"/>
      <c r="P72" s="41">
        <f>T30</f>
        <v>24.02</v>
      </c>
      <c r="Q72" s="626" t="s">
        <v>433</v>
      </c>
      <c r="R72" s="627"/>
      <c r="S72" s="627"/>
      <c r="T72" s="624">
        <f>H72</f>
        <v>228068.32</v>
      </c>
      <c r="U72" s="624"/>
    </row>
    <row r="73" spans="1:22" x14ac:dyDescent="0.25">
      <c r="G73" s="42" t="s">
        <v>12</v>
      </c>
      <c r="H73" s="114">
        <f>ROUND(C72/H72,6)</f>
        <v>5.2400000000000005E-4</v>
      </c>
      <c r="I73" s="114"/>
      <c r="N73" s="621"/>
      <c r="O73" s="621"/>
      <c r="P73" s="621"/>
      <c r="Q73" s="621"/>
      <c r="R73" s="621"/>
      <c r="S73" s="621"/>
      <c r="T73" s="625">
        <f>ROUND(P72/T72,6)</f>
        <v>1.05E-4</v>
      </c>
      <c r="U73" s="625"/>
    </row>
    <row r="74" spans="1:22" x14ac:dyDescent="0.25">
      <c r="A74" s="431" t="s">
        <v>475</v>
      </c>
      <c r="B74" s="428"/>
      <c r="C74" s="428"/>
      <c r="D74" s="428"/>
      <c r="E74" s="428"/>
      <c r="F74" s="428"/>
      <c r="G74" s="428"/>
      <c r="H74" s="428"/>
      <c r="I74" s="428"/>
      <c r="N74" s="430" t="s">
        <v>483</v>
      </c>
      <c r="O74" s="429"/>
      <c r="P74" s="429"/>
      <c r="Q74" s="429"/>
      <c r="R74" s="429"/>
      <c r="S74" s="429"/>
      <c r="T74" s="429"/>
      <c r="U74" s="429"/>
      <c r="V74" s="428"/>
    </row>
    <row r="75" spans="1:22" x14ac:dyDescent="0.25">
      <c r="A75" s="602" t="s">
        <v>428</v>
      </c>
      <c r="B75" s="596"/>
      <c r="C75" s="112">
        <f>E30</f>
        <v>24.02</v>
      </c>
      <c r="D75" s="575" t="s">
        <v>439</v>
      </c>
      <c r="E75" s="575"/>
      <c r="F75" s="575"/>
      <c r="G75" s="575"/>
      <c r="H75" s="299">
        <f>'1461'!H75</f>
        <v>186715.72</v>
      </c>
      <c r="I75" s="113"/>
      <c r="N75" s="620" t="s">
        <v>429</v>
      </c>
      <c r="O75" s="621"/>
      <c r="P75" s="41">
        <f>P30</f>
        <v>24.02</v>
      </c>
      <c r="Q75" s="656" t="s">
        <v>434</v>
      </c>
      <c r="R75" s="657"/>
      <c r="S75" s="657"/>
      <c r="T75" s="624">
        <f>H75</f>
        <v>186715.72</v>
      </c>
      <c r="U75" s="624"/>
    </row>
    <row r="76" spans="1:22" x14ac:dyDescent="0.25">
      <c r="B76" s="69"/>
      <c r="G76" s="42" t="s">
        <v>12</v>
      </c>
      <c r="H76" s="114">
        <f>ROUND(C75/H75,6)</f>
        <v>1.2899999999999999E-4</v>
      </c>
      <c r="I76" s="115"/>
      <c r="N76" s="621"/>
      <c r="O76" s="621"/>
      <c r="P76" s="621"/>
      <c r="Q76" s="621"/>
      <c r="R76" s="621"/>
      <c r="S76" s="621"/>
      <c r="T76" s="625">
        <f>ROUND(P75/T75,6)</f>
        <v>1.2899999999999999E-4</v>
      </c>
      <c r="U76" s="625"/>
    </row>
    <row r="77" spans="1:22" x14ac:dyDescent="0.25">
      <c r="A77" s="431" t="s">
        <v>476</v>
      </c>
      <c r="B77" s="428"/>
      <c r="C77" s="428"/>
      <c r="D77" s="428"/>
      <c r="E77" s="428"/>
      <c r="F77" s="428"/>
      <c r="G77" s="428"/>
      <c r="H77" s="428"/>
      <c r="I77" s="428"/>
      <c r="N77" s="430" t="s">
        <v>484</v>
      </c>
      <c r="O77" s="429"/>
      <c r="P77" s="429"/>
      <c r="Q77" s="429"/>
      <c r="R77" s="429"/>
      <c r="S77" s="429"/>
      <c r="T77" s="429"/>
      <c r="U77" s="429"/>
      <c r="V77" s="428"/>
    </row>
    <row r="78" spans="1:22" x14ac:dyDescent="0.25">
      <c r="A78" s="602" t="s">
        <v>428</v>
      </c>
      <c r="B78" s="596"/>
      <c r="C78" s="112">
        <f>E30</f>
        <v>24.02</v>
      </c>
      <c r="D78" s="603" t="s">
        <v>440</v>
      </c>
      <c r="E78" s="603"/>
      <c r="F78" s="603"/>
      <c r="G78" s="603"/>
      <c r="H78" s="299">
        <f>'1461'!H78</f>
        <v>202339.94</v>
      </c>
      <c r="I78" s="113"/>
      <c r="N78" s="620" t="s">
        <v>429</v>
      </c>
      <c r="O78" s="621"/>
      <c r="P78" s="41">
        <f>P30</f>
        <v>24.02</v>
      </c>
      <c r="Q78" s="654" t="s">
        <v>435</v>
      </c>
      <c r="R78" s="655"/>
      <c r="S78" s="655"/>
      <c r="T78" s="624">
        <f>H78</f>
        <v>202339.94</v>
      </c>
      <c r="U78" s="624"/>
    </row>
    <row r="79" spans="1:22" x14ac:dyDescent="0.25">
      <c r="B79" s="69"/>
      <c r="G79" s="42" t="s">
        <v>12</v>
      </c>
      <c r="H79" s="114">
        <f>ROUND(C78/H78,6)</f>
        <v>1.1900000000000001E-4</v>
      </c>
      <c r="I79" s="115"/>
      <c r="N79" s="621"/>
      <c r="O79" s="621"/>
      <c r="P79" s="621"/>
      <c r="Q79" s="621"/>
      <c r="R79" s="621"/>
      <c r="S79" s="621"/>
      <c r="T79" s="625">
        <f>ROUND(P78/T78,6)</f>
        <v>1.1900000000000001E-4</v>
      </c>
      <c r="U79" s="625"/>
    </row>
    <row r="80" spans="1:22" x14ac:dyDescent="0.25">
      <c r="A80" s="431" t="s">
        <v>477</v>
      </c>
      <c r="B80" s="428"/>
      <c r="C80" s="428"/>
      <c r="D80" s="428"/>
      <c r="E80" s="428"/>
      <c r="F80" s="428"/>
      <c r="G80" s="428"/>
      <c r="H80" s="428"/>
      <c r="I80" s="428"/>
      <c r="N80" s="430" t="s">
        <v>485</v>
      </c>
      <c r="O80" s="429"/>
      <c r="P80" s="429"/>
      <c r="Q80" s="429"/>
      <c r="R80" s="429"/>
      <c r="S80" s="429"/>
      <c r="T80" s="429"/>
      <c r="U80" s="429"/>
      <c r="V80" s="428"/>
    </row>
    <row r="81" spans="1:21" x14ac:dyDescent="0.25">
      <c r="A81" s="602" t="s">
        <v>436</v>
      </c>
      <c r="B81" s="596"/>
      <c r="C81" s="112">
        <f>E30</f>
        <v>24.02</v>
      </c>
      <c r="D81" s="575" t="s">
        <v>441</v>
      </c>
      <c r="E81" s="575"/>
      <c r="F81" s="575"/>
      <c r="G81" s="575"/>
      <c r="H81" s="299">
        <f>'1461'!H81</f>
        <v>186371.69</v>
      </c>
      <c r="I81" s="113"/>
      <c r="N81" s="620" t="s">
        <v>442</v>
      </c>
      <c r="O81" s="621"/>
      <c r="P81" s="41">
        <f>P30</f>
        <v>24.02</v>
      </c>
      <c r="Q81" s="656" t="s">
        <v>443</v>
      </c>
      <c r="R81" s="657"/>
      <c r="S81" s="657"/>
      <c r="T81" s="624">
        <f>H81</f>
        <v>186371.69</v>
      </c>
      <c r="U81" s="624"/>
    </row>
    <row r="82" spans="1:21" x14ac:dyDescent="0.25">
      <c r="B82" s="69"/>
      <c r="G82" s="42" t="s">
        <v>12</v>
      </c>
      <c r="H82" s="114">
        <f>ROUND(C81/H81,6)</f>
        <v>1.2899999999999999E-4</v>
      </c>
      <c r="I82" s="115"/>
      <c r="N82" s="621"/>
      <c r="O82" s="621"/>
      <c r="P82" s="621"/>
      <c r="Q82" s="621"/>
      <c r="R82" s="621"/>
      <c r="S82" s="621"/>
      <c r="T82" s="625">
        <f>ROUND(P81/T81,6)</f>
        <v>1.2899999999999999E-4</v>
      </c>
      <c r="U82" s="625"/>
    </row>
    <row r="83" spans="1:21" x14ac:dyDescent="0.25">
      <c r="A83" s="453"/>
      <c r="G83" s="42"/>
      <c r="H83" s="114"/>
      <c r="I83" s="114"/>
      <c r="N83" s="459"/>
      <c r="O83" s="459"/>
      <c r="P83" s="459"/>
      <c r="Q83" s="459"/>
      <c r="R83" s="459"/>
      <c r="S83" s="459"/>
      <c r="T83" s="460"/>
      <c r="U83" s="460"/>
    </row>
    <row r="84" spans="1:21" x14ac:dyDescent="0.25">
      <c r="A84" s="453"/>
      <c r="G84" s="42"/>
      <c r="H84" s="114"/>
      <c r="I84" s="114"/>
      <c r="N84" s="459"/>
      <c r="O84" s="459"/>
      <c r="P84" s="459"/>
      <c r="Q84" s="459"/>
      <c r="R84" s="459"/>
      <c r="S84" s="459"/>
      <c r="T84" s="460"/>
      <c r="U84" s="460"/>
    </row>
    <row r="85" spans="1:21" x14ac:dyDescent="0.25">
      <c r="A85" s="455" t="s">
        <v>478</v>
      </c>
      <c r="D85" s="69"/>
      <c r="E85" s="43" t="s">
        <v>317</v>
      </c>
      <c r="F85" s="301">
        <f>'1461'!F85</f>
        <v>44502646</v>
      </c>
      <c r="G85" s="37" t="s">
        <v>6</v>
      </c>
      <c r="H85" s="436">
        <f>H79</f>
        <v>1.1900000000000001E-4</v>
      </c>
      <c r="I85" s="101">
        <f>ROUND(F85*H85,2)</f>
        <v>5295.81</v>
      </c>
      <c r="N85" s="466" t="s">
        <v>478</v>
      </c>
      <c r="O85" s="51"/>
      <c r="P85" s="51"/>
      <c r="Q85" s="44"/>
      <c r="R85" s="433">
        <f>F85</f>
        <v>44502646</v>
      </c>
      <c r="S85" s="38" t="s">
        <v>6</v>
      </c>
      <c r="T85" s="435">
        <f>T79</f>
        <v>1.1900000000000001E-4</v>
      </c>
      <c r="U85" s="486">
        <f>ROUND(R85*T85,2)</f>
        <v>5295.81</v>
      </c>
    </row>
    <row r="86" spans="1:21" x14ac:dyDescent="0.25">
      <c r="A86" s="413"/>
      <c r="D86" s="69"/>
      <c r="E86" s="43"/>
      <c r="F86" s="117"/>
      <c r="G86" s="37"/>
      <c r="H86" s="436"/>
      <c r="I86" s="101"/>
      <c r="N86" s="51"/>
      <c r="O86" s="51"/>
      <c r="P86" s="51"/>
      <c r="Q86" s="44"/>
      <c r="R86" s="434"/>
      <c r="S86" s="38"/>
      <c r="T86" s="435"/>
      <c r="U86" s="490"/>
    </row>
    <row r="87" spans="1:21" x14ac:dyDescent="0.25">
      <c r="A87" s="605" t="s">
        <v>71</v>
      </c>
      <c r="B87" s="596"/>
      <c r="C87" s="596"/>
      <c r="D87" s="69"/>
      <c r="E87" s="43"/>
      <c r="F87" s="117"/>
      <c r="G87" s="37"/>
      <c r="H87" s="436"/>
      <c r="I87" s="101"/>
      <c r="N87" s="620" t="s">
        <v>486</v>
      </c>
      <c r="O87" s="621"/>
      <c r="P87" s="621"/>
      <c r="Q87" s="51"/>
      <c r="R87" s="434"/>
      <c r="S87" s="51"/>
      <c r="T87" s="38"/>
      <c r="U87" s="491"/>
    </row>
    <row r="88" spans="1:21" x14ac:dyDescent="0.25">
      <c r="A88" s="605" t="s">
        <v>99</v>
      </c>
      <c r="B88" s="596"/>
      <c r="C88" s="596"/>
      <c r="D88" s="69"/>
      <c r="E88" s="43" t="s">
        <v>3</v>
      </c>
      <c r="F88" s="301">
        <f>'1461'!F88</f>
        <v>0</v>
      </c>
      <c r="G88" s="37" t="s">
        <v>6</v>
      </c>
      <c r="H88" s="436">
        <f>H70</f>
        <v>1.1900000000000001E-4</v>
      </c>
      <c r="I88" s="101">
        <f>ROUND(F88*H88,2)</f>
        <v>0</v>
      </c>
      <c r="N88" s="658" t="s">
        <v>99</v>
      </c>
      <c r="O88" s="621"/>
      <c r="P88" s="621"/>
      <c r="Q88" s="44"/>
      <c r="R88" s="433">
        <f>F88</f>
        <v>0</v>
      </c>
      <c r="S88" s="38" t="s">
        <v>6</v>
      </c>
      <c r="T88" s="435">
        <f>T70</f>
        <v>1.1900000000000001E-4</v>
      </c>
      <c r="U88" s="486">
        <f>ROUND(R88*T88,2)</f>
        <v>0</v>
      </c>
    </row>
    <row r="89" spans="1:21" x14ac:dyDescent="0.25">
      <c r="A89" s="445"/>
      <c r="B89" s="69"/>
      <c r="C89" s="69"/>
      <c r="D89" s="69"/>
      <c r="E89" s="43"/>
      <c r="F89" s="117"/>
      <c r="G89" s="37"/>
      <c r="H89" s="436"/>
      <c r="I89" s="101"/>
      <c r="N89" s="448"/>
      <c r="O89" s="45"/>
      <c r="P89" s="45"/>
      <c r="Q89" s="44"/>
      <c r="R89" s="433"/>
      <c r="S89" s="38"/>
      <c r="T89" s="435"/>
      <c r="U89" s="486"/>
    </row>
    <row r="90" spans="1:21" x14ac:dyDescent="0.25">
      <c r="A90" s="464" t="s">
        <v>479</v>
      </c>
      <c r="D90" s="69"/>
      <c r="E90" s="43" t="s">
        <v>444</v>
      </c>
      <c r="F90" s="301">
        <f>'1461'!F90</f>
        <v>16309168</v>
      </c>
      <c r="G90" s="37" t="s">
        <v>6</v>
      </c>
      <c r="H90" s="436">
        <f>H82</f>
        <v>1.2899999999999999E-4</v>
      </c>
      <c r="I90" s="101">
        <f>ROUND(F90*H90,2)</f>
        <v>2103.88</v>
      </c>
      <c r="N90" s="466" t="s">
        <v>479</v>
      </c>
      <c r="O90" s="51"/>
      <c r="P90" s="51"/>
      <c r="Q90" s="44"/>
      <c r="R90" s="433">
        <f>F90</f>
        <v>16309168</v>
      </c>
      <c r="S90" s="38" t="s">
        <v>6</v>
      </c>
      <c r="T90" s="435">
        <f>T82</f>
        <v>1.2899999999999999E-4</v>
      </c>
      <c r="U90" s="486">
        <f>ROUND(R90*T90,2)</f>
        <v>2103.88</v>
      </c>
    </row>
    <row r="91" spans="1:21" x14ac:dyDescent="0.25">
      <c r="A91" s="413"/>
      <c r="D91" s="69"/>
      <c r="E91" s="43"/>
      <c r="F91" s="117"/>
      <c r="G91" s="37"/>
      <c r="H91" s="436"/>
      <c r="I91" s="101"/>
      <c r="N91" s="421"/>
      <c r="O91" s="51"/>
      <c r="P91" s="51"/>
      <c r="Q91" s="44"/>
      <c r="R91" s="433"/>
      <c r="S91" s="38"/>
      <c r="T91" s="435"/>
      <c r="U91" s="486"/>
    </row>
    <row r="92" spans="1:21" x14ac:dyDescent="0.25">
      <c r="A92" s="464" t="s">
        <v>480</v>
      </c>
      <c r="D92" s="69"/>
      <c r="E92" s="43" t="s">
        <v>3</v>
      </c>
      <c r="F92" s="301">
        <f>'1461'!F92</f>
        <v>10148654</v>
      </c>
      <c r="G92" s="37" t="s">
        <v>6</v>
      </c>
      <c r="H92" s="436">
        <f>H76</f>
        <v>1.2899999999999999E-4</v>
      </c>
      <c r="I92" s="101">
        <f t="shared" ref="I92:I96" si="14">ROUND(F92*H92,2)</f>
        <v>1309.18</v>
      </c>
      <c r="N92" s="466" t="s">
        <v>480</v>
      </c>
      <c r="O92" s="51"/>
      <c r="P92" s="51"/>
      <c r="Q92" s="44"/>
      <c r="R92" s="433">
        <f t="shared" ref="R92:R96" si="15">F92</f>
        <v>10148654</v>
      </c>
      <c r="S92" s="38" t="s">
        <v>6</v>
      </c>
      <c r="T92" s="435">
        <f>T76</f>
        <v>1.2899999999999999E-4</v>
      </c>
      <c r="U92" s="486">
        <f>ROUND(R92*T92,2)</f>
        <v>1309.18</v>
      </c>
    </row>
    <row r="93" spans="1:21" x14ac:dyDescent="0.25">
      <c r="A93" s="81"/>
      <c r="D93" s="69"/>
      <c r="E93" s="43"/>
      <c r="F93" s="117"/>
      <c r="G93" s="37"/>
      <c r="H93" s="436"/>
      <c r="I93" s="101"/>
      <c r="N93" s="397"/>
      <c r="O93" s="51"/>
      <c r="P93" s="51"/>
      <c r="Q93" s="44"/>
      <c r="R93" s="434"/>
      <c r="S93" s="38"/>
      <c r="T93" s="435"/>
      <c r="U93" s="490"/>
    </row>
    <row r="94" spans="1:21" x14ac:dyDescent="0.25">
      <c r="A94" s="602" t="s">
        <v>445</v>
      </c>
      <c r="B94" s="596"/>
      <c r="C94" s="596"/>
      <c r="D94" s="69"/>
      <c r="E94" s="43" t="s">
        <v>4</v>
      </c>
      <c r="F94" s="301">
        <f>'1461'!F94</f>
        <v>238997674</v>
      </c>
      <c r="G94" s="37" t="s">
        <v>6</v>
      </c>
      <c r="H94" s="436">
        <f>H73</f>
        <v>5.2400000000000005E-4</v>
      </c>
      <c r="I94" s="101">
        <f t="shared" si="14"/>
        <v>125234.78</v>
      </c>
      <c r="N94" s="621" t="s">
        <v>445</v>
      </c>
      <c r="O94" s="621"/>
      <c r="P94" s="621"/>
      <c r="Q94" s="44"/>
      <c r="R94" s="433">
        <f t="shared" si="15"/>
        <v>238997674</v>
      </c>
      <c r="S94" s="38" t="s">
        <v>6</v>
      </c>
      <c r="T94" s="435">
        <f>T73</f>
        <v>1.05E-4</v>
      </c>
      <c r="U94" s="486">
        <f>ROUND(R94*T94,2)</f>
        <v>25094.76</v>
      </c>
    </row>
    <row r="95" spans="1:21" x14ac:dyDescent="0.25">
      <c r="A95" s="81"/>
      <c r="B95" s="69"/>
      <c r="C95" s="69"/>
      <c r="D95" s="69"/>
      <c r="E95" s="43"/>
      <c r="F95" s="117"/>
      <c r="G95" s="37"/>
      <c r="H95" s="436"/>
      <c r="I95" s="101"/>
      <c r="N95" s="45"/>
      <c r="O95" s="45"/>
      <c r="P95" s="45"/>
      <c r="Q95" s="44"/>
      <c r="R95" s="433"/>
      <c r="S95" s="38"/>
      <c r="T95" s="435"/>
      <c r="U95" s="486"/>
    </row>
    <row r="96" spans="1:21" x14ac:dyDescent="0.25">
      <c r="A96" s="602" t="s">
        <v>446</v>
      </c>
      <c r="B96" s="596"/>
      <c r="C96" s="596"/>
      <c r="D96" s="69"/>
      <c r="E96" s="43" t="s">
        <v>4</v>
      </c>
      <c r="F96" s="301">
        <f>'1461'!F96</f>
        <v>0</v>
      </c>
      <c r="G96" s="37" t="s">
        <v>6</v>
      </c>
      <c r="H96" s="436">
        <f>H73</f>
        <v>5.2400000000000005E-4</v>
      </c>
      <c r="I96" s="101">
        <f t="shared" si="14"/>
        <v>0</v>
      </c>
      <c r="N96" s="620" t="s">
        <v>446</v>
      </c>
      <c r="O96" s="621"/>
      <c r="P96" s="621"/>
      <c r="Q96" s="44"/>
      <c r="R96" s="433">
        <f t="shared" si="15"/>
        <v>0</v>
      </c>
      <c r="S96" s="38" t="s">
        <v>6</v>
      </c>
      <c r="T96" s="435">
        <f>T73</f>
        <v>1.05E-4</v>
      </c>
      <c r="U96" s="486">
        <f>ROUND(R96*T96,2)</f>
        <v>0</v>
      </c>
    </row>
    <row r="97" spans="1:21" x14ac:dyDescent="0.25">
      <c r="A97" s="539"/>
      <c r="B97" s="538"/>
      <c r="C97" s="538"/>
      <c r="D97" s="538"/>
      <c r="E97" s="536"/>
      <c r="F97" s="117"/>
      <c r="G97" s="537"/>
      <c r="H97" s="436"/>
      <c r="I97" s="101"/>
      <c r="N97" s="542"/>
      <c r="O97" s="541"/>
      <c r="P97" s="541"/>
      <c r="Q97" s="44"/>
      <c r="R97" s="544"/>
      <c r="S97" s="543"/>
      <c r="T97" s="435"/>
      <c r="U97" s="490"/>
    </row>
    <row r="98" spans="1:21" x14ac:dyDescent="0.25">
      <c r="A98" s="539" t="s">
        <v>525</v>
      </c>
      <c r="B98" s="538"/>
      <c r="C98" s="538"/>
      <c r="D98" s="538"/>
      <c r="E98" s="536" t="s">
        <v>3</v>
      </c>
      <c r="F98" s="289">
        <v>0</v>
      </c>
      <c r="G98" s="537" t="s">
        <v>6</v>
      </c>
      <c r="H98" s="436">
        <f>H70</f>
        <v>1.1900000000000001E-4</v>
      </c>
      <c r="I98" s="101">
        <f t="shared" ref="I98" si="16">ROUND(F98*H98,2)</f>
        <v>0</v>
      </c>
      <c r="N98" s="542" t="s">
        <v>525</v>
      </c>
      <c r="O98" s="542"/>
      <c r="P98" s="542"/>
      <c r="Q98" s="44"/>
      <c r="R98" s="545">
        <f>F98</f>
        <v>0</v>
      </c>
      <c r="S98" s="543" t="s">
        <v>6</v>
      </c>
      <c r="T98" s="435">
        <f>T70</f>
        <v>1.1900000000000001E-4</v>
      </c>
      <c r="U98" s="486">
        <f>ROUND(R98*T98,2)</f>
        <v>0</v>
      </c>
    </row>
    <row r="99" spans="1:21" x14ac:dyDescent="0.25">
      <c r="A99" s="539"/>
      <c r="B99" s="538"/>
      <c r="C99" s="538"/>
      <c r="D99" s="538"/>
      <c r="E99" s="536"/>
      <c r="F99" s="275"/>
      <c r="G99" s="537"/>
      <c r="H99" s="436"/>
      <c r="I99" s="101"/>
      <c r="N99" s="542"/>
      <c r="O99" s="542"/>
      <c r="P99" s="542"/>
      <c r="Q99" s="44"/>
      <c r="R99" s="544"/>
      <c r="S99" s="543"/>
      <c r="T99" s="435"/>
      <c r="U99" s="490"/>
    </row>
    <row r="100" spans="1:21" x14ac:dyDescent="0.25">
      <c r="A100" s="539"/>
      <c r="B100" s="538"/>
      <c r="C100" s="538"/>
      <c r="D100" s="538"/>
      <c r="E100" s="536"/>
      <c r="F100" s="275"/>
      <c r="G100" s="537"/>
      <c r="H100" s="436"/>
      <c r="I100" s="101"/>
      <c r="N100" s="542"/>
      <c r="O100" s="542"/>
      <c r="P100" s="542"/>
      <c r="Q100" s="44"/>
      <c r="R100" s="434"/>
      <c r="S100" s="543"/>
      <c r="T100" s="435"/>
      <c r="U100" s="103"/>
    </row>
    <row r="101" spans="1:21" x14ac:dyDescent="0.25">
      <c r="A101" s="413" t="s">
        <v>526</v>
      </c>
      <c r="N101" s="421" t="s">
        <v>526</v>
      </c>
      <c r="O101" s="51"/>
      <c r="P101" s="51"/>
      <c r="Q101" s="51"/>
      <c r="R101" s="51"/>
      <c r="S101" s="51"/>
      <c r="T101" s="51"/>
      <c r="U101" s="51"/>
    </row>
    <row r="102" spans="1:21" x14ac:dyDescent="0.25">
      <c r="B102" s="69"/>
      <c r="C102" s="581" t="s">
        <v>60</v>
      </c>
      <c r="D102" s="581"/>
      <c r="E102" s="69"/>
      <c r="F102" s="39" t="s">
        <v>28</v>
      </c>
      <c r="G102" s="69"/>
      <c r="H102" s="69"/>
      <c r="I102" s="69"/>
      <c r="N102" s="45"/>
      <c r="O102" s="45"/>
      <c r="P102" s="45"/>
      <c r="Q102" s="45"/>
      <c r="R102" s="45"/>
      <c r="S102" s="45"/>
      <c r="T102" s="45"/>
      <c r="U102" s="45"/>
    </row>
    <row r="103" spans="1:21" x14ac:dyDescent="0.25">
      <c r="A103" s="3"/>
      <c r="B103" s="118"/>
      <c r="C103" s="582" t="s">
        <v>101</v>
      </c>
      <c r="D103" s="582"/>
      <c r="E103" s="437" t="s">
        <v>449</v>
      </c>
      <c r="F103" s="120" t="s">
        <v>106</v>
      </c>
      <c r="G103" s="121"/>
      <c r="H103" s="121"/>
      <c r="I103" s="121"/>
      <c r="N103" s="651" t="s">
        <v>35</v>
      </c>
      <c r="O103" s="651"/>
      <c r="P103" s="693" t="s">
        <v>451</v>
      </c>
      <c r="Q103" s="653"/>
      <c r="R103" s="624" t="s">
        <v>31</v>
      </c>
      <c r="S103" s="624"/>
      <c r="T103" s="624"/>
      <c r="U103" s="624"/>
    </row>
    <row r="104" spans="1:21" x14ac:dyDescent="0.25">
      <c r="A104" s="26"/>
      <c r="B104" s="52" t="s">
        <v>105</v>
      </c>
      <c r="C104" s="614">
        <f>H14+H15+H20+H23+H26</f>
        <v>40.832099999999997</v>
      </c>
      <c r="D104" s="614"/>
      <c r="E104" s="46">
        <f>H8</f>
        <v>1.0442</v>
      </c>
      <c r="F104" s="302">
        <f>'1461'!F104</f>
        <v>947.59</v>
      </c>
      <c r="G104" s="39" t="s">
        <v>12</v>
      </c>
      <c r="H104" s="101">
        <f>ROUND(C104*E104*F104,2)</f>
        <v>40402.28</v>
      </c>
      <c r="I104" s="104"/>
      <c r="N104" s="28" t="s">
        <v>17</v>
      </c>
      <c r="O104" s="47">
        <f>T14+T15+T20+T23+T26</f>
        <v>9.01</v>
      </c>
      <c r="P104" s="631">
        <f>T8</f>
        <v>1.0442</v>
      </c>
      <c r="Q104" s="631"/>
      <c r="R104" s="48">
        <f>F104</f>
        <v>947.59</v>
      </c>
      <c r="S104" s="40" t="s">
        <v>12</v>
      </c>
      <c r="T104" s="492">
        <f>ROUND(O104*P104*R104,2)</f>
        <v>8915.16</v>
      </c>
      <c r="U104" s="102"/>
    </row>
    <row r="105" spans="1:21" x14ac:dyDescent="0.25">
      <c r="A105" s="49"/>
      <c r="B105" s="49" t="s">
        <v>104</v>
      </c>
      <c r="C105" s="614">
        <f>H16+H17+H21+H24+H27</f>
        <v>78.658600000000007</v>
      </c>
      <c r="D105" s="614"/>
      <c r="E105" s="46">
        <f>H8</f>
        <v>1.0442</v>
      </c>
      <c r="F105" s="302">
        <f>'1461'!F105</f>
        <v>904.74</v>
      </c>
      <c r="G105" s="39" t="s">
        <v>12</v>
      </c>
      <c r="H105" s="101">
        <f>ROUND(C105*E105*F105,2)</f>
        <v>74311.100000000006</v>
      </c>
      <c r="N105" s="50" t="s">
        <v>13</v>
      </c>
      <c r="O105" s="47">
        <f>T16+T17+T21+T24+T27</f>
        <v>15.01</v>
      </c>
      <c r="P105" s="631">
        <f>T8</f>
        <v>1.0442</v>
      </c>
      <c r="Q105" s="631"/>
      <c r="R105" s="48">
        <f>F105</f>
        <v>904.74</v>
      </c>
      <c r="S105" s="40" t="s">
        <v>12</v>
      </c>
      <c r="T105" s="492">
        <f>ROUND(O105*P105*R105,2)</f>
        <v>14180.39</v>
      </c>
      <c r="U105" s="51"/>
    </row>
    <row r="106" spans="1:21" ht="16.5" thickBot="1" x14ac:dyDescent="0.3">
      <c r="A106" s="52"/>
      <c r="B106" s="52" t="s">
        <v>103</v>
      </c>
      <c r="C106" s="614">
        <f>H18+H19+H22+H25+H28+H29</f>
        <v>0</v>
      </c>
      <c r="D106" s="614"/>
      <c r="E106" s="46">
        <f>H8</f>
        <v>1.0442</v>
      </c>
      <c r="F106" s="302">
        <f>'1461'!F106</f>
        <v>906.93</v>
      </c>
      <c r="G106" s="39" t="s">
        <v>12</v>
      </c>
      <c r="H106" s="94">
        <f>ROUND(C106*E106*F106,2)</f>
        <v>0</v>
      </c>
      <c r="N106" s="53" t="s">
        <v>14</v>
      </c>
      <c r="O106" s="54">
        <f>T18+T19+T22+T25+T28+T29</f>
        <v>0</v>
      </c>
      <c r="P106" s="631">
        <f>T8</f>
        <v>1.0442</v>
      </c>
      <c r="Q106" s="631"/>
      <c r="R106" s="48">
        <f>F106</f>
        <v>906.93</v>
      </c>
      <c r="S106" s="40" t="s">
        <v>12</v>
      </c>
      <c r="T106" s="492">
        <f>ROUND(O106*P106*R106,2)</f>
        <v>0</v>
      </c>
      <c r="U106" s="51"/>
    </row>
    <row r="107" spans="1:21" ht="16.5" thickBot="1" x14ac:dyDescent="0.3">
      <c r="A107" s="55"/>
      <c r="B107" s="122" t="s">
        <v>102</v>
      </c>
      <c r="C107" s="604">
        <f>SUM(C104:C106)</f>
        <v>119.4907</v>
      </c>
      <c r="D107" s="604"/>
      <c r="E107" s="123"/>
      <c r="F107" s="123"/>
      <c r="G107" s="123"/>
      <c r="H107" s="124" t="s">
        <v>100</v>
      </c>
      <c r="I107" s="101">
        <f>IF(A1=75,0,H106+H105+H104)</f>
        <v>114713.38</v>
      </c>
      <c r="N107" s="56" t="s">
        <v>89</v>
      </c>
      <c r="O107" s="57">
        <f>SUM(O104:O106)</f>
        <v>24.02</v>
      </c>
      <c r="P107" s="632" t="s">
        <v>16</v>
      </c>
      <c r="Q107" s="633"/>
      <c r="R107" s="633"/>
      <c r="S107" s="633"/>
      <c r="T107" s="633"/>
      <c r="U107" s="486">
        <f>IF(N1=75,0,T106+T105+T104)</f>
        <v>23095.55</v>
      </c>
    </row>
    <row r="108" spans="1:21" ht="16.5" thickTop="1" x14ac:dyDescent="0.25">
      <c r="A108" s="573" t="s">
        <v>65</v>
      </c>
      <c r="B108" s="573"/>
      <c r="C108" s="573"/>
      <c r="D108" s="573"/>
      <c r="E108" s="573"/>
      <c r="F108" s="573"/>
      <c r="G108" s="573"/>
      <c r="H108" s="573"/>
      <c r="I108" s="573"/>
      <c r="N108" s="634" t="s">
        <v>65</v>
      </c>
      <c r="O108" s="634"/>
      <c r="P108" s="634"/>
      <c r="Q108" s="634"/>
      <c r="R108" s="634"/>
      <c r="S108" s="634"/>
      <c r="T108" s="634"/>
      <c r="U108" s="634"/>
    </row>
    <row r="109" spans="1:21" x14ac:dyDescent="0.25">
      <c r="A109" s="446"/>
      <c r="B109" s="446"/>
      <c r="C109" s="446"/>
      <c r="D109" s="446"/>
      <c r="E109" s="446"/>
      <c r="F109" s="446"/>
      <c r="G109" s="446"/>
      <c r="H109" s="446"/>
      <c r="I109" s="446"/>
      <c r="N109" s="447"/>
      <c r="O109" s="447"/>
      <c r="P109" s="447"/>
      <c r="Q109" s="447"/>
      <c r="R109" s="447"/>
      <c r="S109" s="447"/>
      <c r="T109" s="447"/>
      <c r="U109" s="447"/>
    </row>
    <row r="110" spans="1:21" x14ac:dyDescent="0.25">
      <c r="A110" s="539" t="s">
        <v>527</v>
      </c>
      <c r="C110" s="43"/>
      <c r="D110" s="69"/>
      <c r="E110" s="43" t="s">
        <v>32</v>
      </c>
      <c r="F110" s="574"/>
      <c r="G110" s="574"/>
      <c r="H110" s="574"/>
      <c r="I110" s="574"/>
      <c r="N110" s="620" t="s">
        <v>527</v>
      </c>
      <c r="O110" s="621"/>
      <c r="P110" s="621"/>
      <c r="Q110" s="635"/>
      <c r="R110" s="635"/>
      <c r="S110" s="635"/>
      <c r="T110" s="635"/>
      <c r="U110" s="103"/>
    </row>
    <row r="111" spans="1:21" x14ac:dyDescent="0.25">
      <c r="B111" s="69"/>
      <c r="C111" s="88" t="s">
        <v>519</v>
      </c>
      <c r="D111" s="348" t="s">
        <v>520</v>
      </c>
      <c r="E111" s="89" t="s">
        <v>107</v>
      </c>
      <c r="F111" s="43"/>
      <c r="G111" s="43"/>
      <c r="H111" s="43"/>
      <c r="I111" s="43"/>
      <c r="N111" s="45"/>
      <c r="O111" s="45"/>
      <c r="P111" s="45"/>
      <c r="Q111" s="125"/>
      <c r="R111" s="125"/>
      <c r="S111" s="125"/>
      <c r="T111" s="125"/>
      <c r="U111" s="103"/>
    </row>
    <row r="112" spans="1:21" x14ac:dyDescent="0.25">
      <c r="B112" s="69"/>
      <c r="C112" s="339" t="s">
        <v>2</v>
      </c>
      <c r="D112" s="339" t="s">
        <v>2</v>
      </c>
      <c r="E112" s="339" t="s">
        <v>2</v>
      </c>
      <c r="F112" s="43"/>
      <c r="G112" s="43"/>
      <c r="H112" s="43"/>
      <c r="I112" s="43"/>
      <c r="N112" s="45"/>
      <c r="O112" s="45"/>
      <c r="P112" s="45"/>
      <c r="Q112" s="125"/>
      <c r="R112" s="125"/>
      <c r="S112" s="125"/>
      <c r="T112" s="125"/>
      <c r="U112" s="103"/>
    </row>
    <row r="113" spans="1:21" x14ac:dyDescent="0.25">
      <c r="A113" s="575" t="s">
        <v>403</v>
      </c>
      <c r="B113" s="576"/>
      <c r="C113" s="143">
        <v>8</v>
      </c>
      <c r="D113" s="143">
        <v>8</v>
      </c>
      <c r="E113" s="116">
        <f>(C113+D113)/2</f>
        <v>8</v>
      </c>
      <c r="F113" s="126" t="s">
        <v>30</v>
      </c>
      <c r="G113" s="303">
        <f>'1461'!G113</f>
        <v>536</v>
      </c>
      <c r="I113" s="101">
        <f>ROUND(G113*E113,2)</f>
        <v>4288</v>
      </c>
      <c r="N113" s="650" t="s">
        <v>52</v>
      </c>
      <c r="O113" s="650"/>
      <c r="P113" s="630">
        <f>IF(H133=1,E113,0)</f>
        <v>8</v>
      </c>
      <c r="Q113" s="630"/>
      <c r="R113" s="630"/>
      <c r="S113" s="83" t="s">
        <v>30</v>
      </c>
      <c r="T113" s="58">
        <f>G113</f>
        <v>536</v>
      </c>
      <c r="U113" s="486">
        <f>ROUND(T113*P113,2)</f>
        <v>4288</v>
      </c>
    </row>
    <row r="114" spans="1:21" x14ac:dyDescent="0.25">
      <c r="A114" s="575" t="s">
        <v>404</v>
      </c>
      <c r="B114" s="576"/>
      <c r="C114" s="143">
        <v>0</v>
      </c>
      <c r="D114" s="143">
        <v>0</v>
      </c>
      <c r="E114" s="116">
        <f>(C114+D114)/2</f>
        <v>0</v>
      </c>
      <c r="F114" s="126" t="s">
        <v>30</v>
      </c>
      <c r="G114" s="303">
        <f>'1461'!G114</f>
        <v>1760</v>
      </c>
      <c r="I114" s="101">
        <f>ROUND(G114*E114,2)</f>
        <v>0</v>
      </c>
      <c r="N114" s="650" t="s">
        <v>64</v>
      </c>
      <c r="O114" s="650"/>
      <c r="P114" s="628"/>
      <c r="Q114" s="628"/>
      <c r="R114" s="628"/>
      <c r="S114" s="83" t="s">
        <v>30</v>
      </c>
      <c r="T114" s="58">
        <f>G114</f>
        <v>1760</v>
      </c>
      <c r="U114" s="486">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02" t="s">
        <v>453</v>
      </c>
      <c r="B117" s="596"/>
      <c r="C117" s="596"/>
      <c r="D117" s="69"/>
      <c r="E117" s="39" t="s">
        <v>318</v>
      </c>
      <c r="F117" s="581"/>
      <c r="G117" s="581"/>
      <c r="H117" s="581"/>
      <c r="I117" s="581"/>
      <c r="N117" s="620" t="s">
        <v>454</v>
      </c>
      <c r="O117" s="621"/>
      <c r="P117" s="621"/>
      <c r="Q117" s="621"/>
      <c r="R117" s="621"/>
      <c r="S117" s="621"/>
      <c r="T117" s="621"/>
      <c r="U117" s="621"/>
    </row>
    <row r="118" spans="1:21" hidden="1" x14ac:dyDescent="0.25">
      <c r="B118" s="69"/>
      <c r="C118" s="582" t="s">
        <v>66</v>
      </c>
      <c r="D118" s="582"/>
      <c r="E118" s="582"/>
      <c r="F118" s="37"/>
      <c r="G118" s="37"/>
      <c r="H118" s="39" t="s">
        <v>108</v>
      </c>
      <c r="I118" s="37"/>
      <c r="N118" s="45"/>
      <c r="O118" s="45"/>
      <c r="P118" s="45"/>
      <c r="Q118" s="45"/>
      <c r="R118" s="45"/>
      <c r="S118" s="45"/>
      <c r="T118" s="45"/>
      <c r="U118" s="45"/>
    </row>
    <row r="119" spans="1:21" hidden="1" x14ac:dyDescent="0.25">
      <c r="B119" s="69"/>
      <c r="C119" s="88" t="s">
        <v>330</v>
      </c>
      <c r="D119" s="88" t="s">
        <v>315</v>
      </c>
      <c r="E119" s="137" t="s">
        <v>8</v>
      </c>
      <c r="F119" s="583" t="s">
        <v>109</v>
      </c>
      <c r="G119" s="581"/>
      <c r="H119" s="37" t="s">
        <v>29</v>
      </c>
      <c r="I119" s="37"/>
      <c r="N119" s="45"/>
      <c r="O119" s="45"/>
      <c r="P119" s="45"/>
      <c r="Q119" s="45"/>
      <c r="R119" s="45"/>
      <c r="S119" s="45"/>
      <c r="T119" s="45"/>
      <c r="U119" s="45"/>
    </row>
    <row r="120" spans="1:21" hidden="1" x14ac:dyDescent="0.25">
      <c r="A120" s="582" t="s">
        <v>69</v>
      </c>
      <c r="B120" s="582"/>
      <c r="C120" s="90" t="s">
        <v>2</v>
      </c>
      <c r="D120" s="90" t="s">
        <v>2</v>
      </c>
      <c r="E120" s="59" t="s">
        <v>2</v>
      </c>
      <c r="F120" s="582" t="s">
        <v>28</v>
      </c>
      <c r="G120" s="582"/>
      <c r="H120" s="59" t="s">
        <v>28</v>
      </c>
      <c r="I120" s="59" t="s">
        <v>8</v>
      </c>
      <c r="N120" s="629" t="s">
        <v>53</v>
      </c>
      <c r="O120" s="629"/>
      <c r="P120" s="630" t="s">
        <v>66</v>
      </c>
      <c r="Q120" s="630"/>
      <c r="R120" s="629" t="s">
        <v>54</v>
      </c>
      <c r="S120" s="629"/>
      <c r="T120" s="60" t="s">
        <v>55</v>
      </c>
      <c r="U120" s="60" t="s">
        <v>8</v>
      </c>
    </row>
    <row r="121" spans="1:21" hidden="1" x14ac:dyDescent="0.25">
      <c r="A121" s="579" t="s">
        <v>56</v>
      </c>
      <c r="B121" s="579"/>
      <c r="C121" s="141">
        <v>0</v>
      </c>
      <c r="D121" s="141">
        <v>0</v>
      </c>
      <c r="E121" s="187">
        <f>IF(D30=0,C121*2,C121+D121)</f>
        <v>0</v>
      </c>
      <c r="F121" s="580">
        <v>0</v>
      </c>
      <c r="G121" s="580"/>
      <c r="H121" s="224">
        <f>IF(C121=0,0,125)</f>
        <v>0</v>
      </c>
      <c r="I121" s="101">
        <f>ROUND((H121+F121)*E121,2)</f>
        <v>0</v>
      </c>
      <c r="N121" s="621" t="s">
        <v>56</v>
      </c>
      <c r="O121" s="621"/>
      <c r="P121" s="628">
        <f>IF(H$133=1,C121,0)</f>
        <v>0</v>
      </c>
      <c r="Q121" s="628"/>
      <c r="R121" s="648">
        <f>F121</f>
        <v>0</v>
      </c>
      <c r="S121" s="648"/>
      <c r="T121" s="62">
        <f>H121</f>
        <v>0</v>
      </c>
      <c r="U121" s="96">
        <f>ROUND((T121+R121)*P121,0)</f>
        <v>0</v>
      </c>
    </row>
    <row r="122" spans="1:21" hidden="1" x14ac:dyDescent="0.25">
      <c r="A122" s="599" t="s">
        <v>57</v>
      </c>
      <c r="B122" s="599"/>
      <c r="C122" s="143">
        <v>0</v>
      </c>
      <c r="D122" s="143">
        <v>0</v>
      </c>
      <c r="E122" s="116">
        <f>IF(D31=0,C122*2,C122+D122)</f>
        <v>0</v>
      </c>
      <c r="F122" s="616">
        <f>ROUND(F121/2,2)</f>
        <v>0</v>
      </c>
      <c r="G122" s="616"/>
      <c r="H122" s="224">
        <f>IF(C122=0,0,62.5)</f>
        <v>0</v>
      </c>
      <c r="I122" s="101">
        <f>ROUND((H122+F122)*E122,2)</f>
        <v>0</v>
      </c>
      <c r="N122" s="621" t="s">
        <v>57</v>
      </c>
      <c r="O122" s="621"/>
      <c r="P122" s="628">
        <f>IF(H$133=1,C122,0)</f>
        <v>0</v>
      </c>
      <c r="Q122" s="628"/>
      <c r="R122" s="649">
        <f>ROUND(R121/2,2)</f>
        <v>0</v>
      </c>
      <c r="S122" s="649"/>
      <c r="T122" s="62">
        <f>H122</f>
        <v>0</v>
      </c>
      <c r="U122" s="96">
        <f>ROUND((T122+R122)*P122,0)</f>
        <v>0</v>
      </c>
    </row>
    <row r="123" spans="1:21" ht="16.5" hidden="1" thickBot="1" x14ac:dyDescent="0.3">
      <c r="A123" s="599" t="s">
        <v>58</v>
      </c>
      <c r="B123" s="599"/>
      <c r="C123" s="143">
        <v>0</v>
      </c>
      <c r="D123" s="143">
        <v>0</v>
      </c>
      <c r="E123" s="116">
        <f>IF(D32=0,C123*2,C123+D123)</f>
        <v>0</v>
      </c>
      <c r="F123" s="617"/>
      <c r="G123" s="617"/>
      <c r="H123" s="225">
        <f>IF(H121&gt;0,436,0)</f>
        <v>0</v>
      </c>
      <c r="I123" s="101">
        <f>ROUND(H123*E123,2)</f>
        <v>0</v>
      </c>
      <c r="N123" s="636" t="s">
        <v>58</v>
      </c>
      <c r="O123" s="636"/>
      <c r="P123" s="628">
        <f>IF(H$133=1,C123,0)</f>
        <v>0</v>
      </c>
      <c r="Q123" s="628"/>
      <c r="R123" s="629"/>
      <c r="S123" s="629"/>
      <c r="T123" s="64">
        <f>H123</f>
        <v>0</v>
      </c>
      <c r="U123" s="103">
        <f>ROUND(T123*P123,0)</f>
        <v>0</v>
      </c>
    </row>
    <row r="124" spans="1:21" ht="16.5" hidden="1" thickBot="1" x14ac:dyDescent="0.3">
      <c r="A124" s="581" t="s">
        <v>8</v>
      </c>
      <c r="B124" s="581"/>
      <c r="C124" s="65"/>
      <c r="D124" s="65"/>
      <c r="E124" s="65"/>
      <c r="F124" s="65"/>
      <c r="G124" s="65"/>
      <c r="H124" s="65"/>
      <c r="I124" s="97">
        <f>SUM(I121:I123)</f>
        <v>0</v>
      </c>
      <c r="N124" s="647" t="s">
        <v>8</v>
      </c>
      <c r="O124" s="647"/>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02" t="s">
        <v>455</v>
      </c>
      <c r="B126" s="596"/>
      <c r="C126" s="596"/>
      <c r="D126" s="69"/>
      <c r="E126" s="68" t="s">
        <v>34</v>
      </c>
      <c r="F126" s="615"/>
      <c r="G126" s="615"/>
      <c r="H126" s="615"/>
      <c r="I126" s="154">
        <v>0</v>
      </c>
      <c r="N126" s="620" t="s">
        <v>455</v>
      </c>
      <c r="O126" s="621"/>
      <c r="P126" s="621"/>
      <c r="Q126" s="305"/>
      <c r="R126" s="305"/>
      <c r="S126" s="305"/>
      <c r="T126" s="305"/>
      <c r="U126" s="486">
        <f>IF($H$133=1,I126,0)</f>
        <v>0</v>
      </c>
    </row>
    <row r="127" spans="1:21" x14ac:dyDescent="0.25">
      <c r="B127" s="69"/>
      <c r="C127" s="69"/>
      <c r="D127" s="69"/>
      <c r="E127" s="68"/>
      <c r="F127" s="68"/>
      <c r="G127" s="68"/>
      <c r="H127" s="68"/>
      <c r="I127" s="116"/>
      <c r="N127" s="466"/>
      <c r="O127" s="465"/>
      <c r="P127" s="465"/>
      <c r="Q127" s="305"/>
      <c r="R127" s="305"/>
      <c r="S127" s="305"/>
      <c r="T127" s="305"/>
      <c r="U127" s="490"/>
    </row>
    <row r="128" spans="1:21" ht="16.5" thickBot="1" x14ac:dyDescent="0.3">
      <c r="A128" s="608" t="s">
        <v>8</v>
      </c>
      <c r="B128" s="608"/>
      <c r="C128" s="608"/>
      <c r="D128" s="608"/>
      <c r="E128" s="608"/>
      <c r="F128" s="608"/>
      <c r="G128" s="608"/>
      <c r="H128" s="608"/>
      <c r="I128" s="94">
        <f>SUM(I46,I66,I85,I88,I90,I92,I94,I96,I107,I113,I114,I124,I126)</f>
        <v>901136.39000000013</v>
      </c>
      <c r="N128" s="466"/>
      <c r="O128" s="465"/>
      <c r="P128" s="465"/>
      <c r="Q128" s="305"/>
      <c r="R128" s="305"/>
      <c r="S128" s="305"/>
      <c r="T128" s="305"/>
      <c r="U128" s="493">
        <f>SUM(U30,U85,U88,U90,U92,U94,U96,U107,U113,U114,U124,U126)</f>
        <v>190100.27</v>
      </c>
    </row>
    <row r="129" spans="1:21" ht="16.5" thickTop="1" x14ac:dyDescent="0.25">
      <c r="A129" s="26"/>
      <c r="B129" s="26"/>
      <c r="C129" s="26"/>
      <c r="D129" s="26"/>
      <c r="E129" s="26"/>
      <c r="F129" s="26"/>
      <c r="G129" s="26"/>
      <c r="H129" s="26"/>
      <c r="I129" s="101"/>
      <c r="N129" s="466"/>
      <c r="O129" s="465"/>
      <c r="P129" s="465"/>
      <c r="Q129" s="305"/>
      <c r="R129" s="305"/>
      <c r="S129" s="305"/>
      <c r="T129" s="305"/>
      <c r="U129" s="103"/>
    </row>
    <row r="130" spans="1:21" ht="16.5" thickBot="1" x14ac:dyDescent="0.3">
      <c r="A130" s="81" t="s">
        <v>457</v>
      </c>
      <c r="B130" s="26"/>
      <c r="C130" s="26"/>
      <c r="D130" s="26"/>
      <c r="E130" s="26"/>
      <c r="F130" s="26"/>
      <c r="G130" s="26"/>
      <c r="H130" s="26"/>
      <c r="I130" s="101">
        <f>I128-I53</f>
        <v>860542.93000000017</v>
      </c>
      <c r="N130" s="620" t="s">
        <v>457</v>
      </c>
      <c r="O130" s="621"/>
      <c r="P130" s="621"/>
      <c r="Q130" s="621"/>
      <c r="R130" s="621"/>
      <c r="S130" s="621"/>
      <c r="T130" s="621"/>
      <c r="U130" s="132">
        <f>U128-U53</f>
        <v>182455.72999999998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02" t="s">
        <v>530</v>
      </c>
      <c r="B132" s="596"/>
      <c r="C132" s="596"/>
      <c r="D132" s="596"/>
      <c r="E132" s="596"/>
      <c r="F132" s="596"/>
      <c r="G132" s="596"/>
      <c r="H132" s="81" t="s">
        <v>351</v>
      </c>
      <c r="I132" s="134"/>
      <c r="N132" s="620" t="s">
        <v>532</v>
      </c>
      <c r="O132" s="621"/>
      <c r="P132" s="621"/>
      <c r="Q132" s="621"/>
      <c r="R132" s="621"/>
      <c r="S132" s="621"/>
      <c r="T132" s="621"/>
      <c r="U132" s="138"/>
    </row>
    <row r="133" spans="1:21" x14ac:dyDescent="0.25">
      <c r="A133" s="596" t="s">
        <v>70</v>
      </c>
      <c r="B133" s="596"/>
      <c r="C133" s="596"/>
      <c r="D133" s="596"/>
      <c r="E133" s="596"/>
      <c r="F133" s="596"/>
      <c r="G133" s="596"/>
      <c r="H133" s="70">
        <f>IF(E30=0,"",IF((E15+E17+SUM(E19:E25))/E30&gt;0.75,1,""))</f>
        <v>1</v>
      </c>
      <c r="I133" s="116">
        <f>U130</f>
        <v>182455.72999999998</v>
      </c>
      <c r="N133" s="621" t="s">
        <v>70</v>
      </c>
      <c r="O133" s="621"/>
      <c r="P133" s="621"/>
      <c r="Q133" s="621"/>
      <c r="R133" s="621"/>
      <c r="S133" s="621"/>
      <c r="T133" s="621"/>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182455.72999999998</v>
      </c>
      <c r="I135" s="94">
        <f>ROUND(IF(E30=0,0,IF(E30&gt;250,-(((250/E30)*H135)*IF(G135="H",0.02,0.05)),IF(G135="H",-0.02*H135,-0.05*H135))),2)</f>
        <v>-9122.7900000000009</v>
      </c>
      <c r="N135" s="646"/>
      <c r="O135" s="646"/>
      <c r="P135" s="646"/>
      <c r="Q135" s="646"/>
      <c r="R135" s="646"/>
      <c r="S135" s="646"/>
      <c r="T135" s="646"/>
      <c r="U135" s="646"/>
    </row>
    <row r="136" spans="1:21" x14ac:dyDescent="0.25">
      <c r="B136" s="69"/>
      <c r="C136" s="69"/>
      <c r="D136" s="69"/>
      <c r="E136" s="69"/>
      <c r="F136" s="69"/>
      <c r="G136" s="69"/>
      <c r="H136" s="65"/>
      <c r="I136" s="101"/>
      <c r="N136" s="644" t="s">
        <v>7</v>
      </c>
      <c r="O136" s="644"/>
      <c r="P136" s="644"/>
      <c r="Q136" s="644"/>
      <c r="R136" s="644"/>
      <c r="S136" s="644"/>
      <c r="T136" s="644"/>
      <c r="U136" s="644"/>
    </row>
    <row r="137" spans="1:21" x14ac:dyDescent="0.25">
      <c r="A137" s="308" t="s">
        <v>74</v>
      </c>
      <c r="B137" s="309"/>
      <c r="C137" s="309"/>
      <c r="D137" s="309"/>
      <c r="E137" s="309"/>
      <c r="F137" s="309"/>
      <c r="G137" s="309"/>
      <c r="H137" s="310"/>
      <c r="I137" s="311">
        <f>I128+I135</f>
        <v>892013.60000000009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-891825.04999999993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188.55000000016298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188.55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54" t="str">
        <f>'1461'!A152</f>
        <v>(a) Additional FTE includes FTE earned through Advanced Placement, International Baccalaureate, Advanced International Certificate of Education, Industry Certified Career</v>
      </c>
      <c r="B152" s="355"/>
      <c r="C152" s="355"/>
      <c r="D152" s="355"/>
      <c r="E152" s="355"/>
      <c r="F152" s="355"/>
      <c r="G152" s="355"/>
      <c r="H152" s="355"/>
      <c r="I152" s="355"/>
      <c r="J152" s="77"/>
      <c r="K152" s="76"/>
      <c r="L152" s="76"/>
      <c r="M152" s="76"/>
      <c r="N152" s="73"/>
      <c r="O152" s="73"/>
      <c r="P152" s="73"/>
      <c r="Q152" s="73"/>
      <c r="R152" s="73"/>
      <c r="S152" s="73"/>
      <c r="T152" s="73"/>
      <c r="U152" s="73"/>
    </row>
    <row r="153" spans="1:21" ht="15.75" customHeight="1" x14ac:dyDescent="0.25">
      <c r="A153" s="360" t="s">
        <v>394</v>
      </c>
      <c r="B153" s="355"/>
      <c r="C153" s="355"/>
      <c r="D153" s="355"/>
      <c r="E153" s="355"/>
      <c r="F153" s="355"/>
      <c r="G153" s="355"/>
      <c r="H153" s="355"/>
      <c r="I153" s="355"/>
      <c r="J153" s="77"/>
      <c r="K153" s="76"/>
      <c r="L153" s="76"/>
      <c r="M153" s="76"/>
      <c r="N153" s="73"/>
      <c r="O153" s="73"/>
      <c r="P153" s="73"/>
      <c r="Q153" s="73"/>
      <c r="R153" s="73"/>
      <c r="S153" s="73"/>
      <c r="T153" s="73"/>
      <c r="U153" s="73"/>
    </row>
    <row r="154" spans="1:21" x14ac:dyDescent="0.25">
      <c r="A154" s="354" t="s">
        <v>395</v>
      </c>
      <c r="B154" s="356"/>
      <c r="C154" s="356"/>
      <c r="D154" s="356"/>
      <c r="E154" s="356"/>
      <c r="F154" s="356"/>
      <c r="G154" s="356"/>
      <c r="H154" s="356"/>
      <c r="I154" s="356"/>
      <c r="J154" s="76"/>
      <c r="K154" s="76"/>
      <c r="L154" s="76"/>
      <c r="M154" s="76"/>
      <c r="N154" s="73"/>
      <c r="O154" s="73"/>
      <c r="P154" s="73"/>
      <c r="Q154" s="73"/>
      <c r="R154" s="73"/>
      <c r="S154" s="73"/>
      <c r="T154" s="73"/>
      <c r="U154" s="73"/>
    </row>
    <row r="155" spans="1:21" s="76" customFormat="1" x14ac:dyDescent="0.2">
      <c r="A155" s="354" t="s">
        <v>396</v>
      </c>
      <c r="B155" s="356"/>
      <c r="C155" s="356"/>
      <c r="D155" s="356"/>
      <c r="E155" s="356"/>
      <c r="F155" s="356"/>
      <c r="G155" s="356"/>
      <c r="H155" s="356"/>
      <c r="I155" s="356"/>
      <c r="N155" s="645"/>
      <c r="O155" s="645"/>
      <c r="P155" s="645"/>
      <c r="Q155" s="645"/>
      <c r="R155" s="645"/>
      <c r="S155" s="645"/>
      <c r="T155" s="645"/>
      <c r="U155" s="645"/>
    </row>
    <row r="156" spans="1:21" s="76" customFormat="1" x14ac:dyDescent="0.2">
      <c r="A156" s="354" t="s">
        <v>397</v>
      </c>
      <c r="B156" s="356"/>
      <c r="C156" s="356"/>
      <c r="D156" s="356"/>
      <c r="E156" s="356"/>
      <c r="F156" s="356"/>
      <c r="G156" s="356"/>
      <c r="H156" s="356"/>
      <c r="I156" s="356"/>
      <c r="N156" s="73"/>
      <c r="O156" s="73"/>
      <c r="P156" s="73"/>
      <c r="Q156" s="73"/>
      <c r="R156" s="73"/>
      <c r="S156" s="73"/>
      <c r="T156" s="73"/>
      <c r="U156" s="73"/>
    </row>
    <row r="157" spans="1:21" s="76" customFormat="1" x14ac:dyDescent="0.2">
      <c r="A157" s="354" t="s">
        <v>398</v>
      </c>
      <c r="B157" s="356"/>
      <c r="C157" s="356"/>
      <c r="D157" s="356"/>
      <c r="E157" s="356"/>
      <c r="F157" s="356"/>
      <c r="G157" s="356"/>
      <c r="H157" s="356"/>
      <c r="I157" s="356"/>
      <c r="N157" s="78"/>
      <c r="O157" s="79"/>
      <c r="P157" s="79"/>
      <c r="Q157" s="79"/>
      <c r="R157" s="79"/>
      <c r="S157" s="79"/>
      <c r="T157" s="79"/>
      <c r="U157" s="79"/>
    </row>
    <row r="158" spans="1:21" s="76" customFormat="1" x14ac:dyDescent="0.2">
      <c r="A158" s="354" t="s">
        <v>399</v>
      </c>
      <c r="B158" s="356"/>
      <c r="C158" s="356"/>
      <c r="D158" s="356"/>
      <c r="E158" s="356"/>
      <c r="F158" s="356"/>
      <c r="G158" s="356"/>
      <c r="H158" s="356"/>
      <c r="I158" s="356"/>
      <c r="N158" s="78"/>
    </row>
    <row r="159" spans="1:21" s="76" customFormat="1" x14ac:dyDescent="0.2">
      <c r="A159" s="354" t="s">
        <v>401</v>
      </c>
      <c r="B159" s="356"/>
      <c r="C159" s="356"/>
      <c r="D159" s="356"/>
      <c r="E159" s="356"/>
      <c r="F159" s="356"/>
      <c r="G159" s="356"/>
      <c r="H159" s="356"/>
      <c r="I159" s="356"/>
      <c r="N159" s="78"/>
    </row>
    <row r="160" spans="1:21" s="76" customFormat="1" x14ac:dyDescent="0.2">
      <c r="A160" s="360" t="s">
        <v>400</v>
      </c>
      <c r="B160" s="356"/>
      <c r="C160" s="356"/>
      <c r="D160" s="356"/>
      <c r="E160" s="356"/>
      <c r="F160" s="356"/>
      <c r="G160" s="356"/>
      <c r="H160" s="356"/>
      <c r="I160" s="356"/>
      <c r="N160" s="78"/>
    </row>
    <row r="161" spans="1:14" s="76" customFormat="1" x14ac:dyDescent="0.2">
      <c r="A161" s="354" t="s">
        <v>402</v>
      </c>
      <c r="B161" s="356"/>
      <c r="C161" s="356"/>
      <c r="D161" s="356"/>
      <c r="E161" s="356"/>
      <c r="F161" s="356"/>
      <c r="G161" s="356"/>
      <c r="H161" s="356"/>
      <c r="I161" s="356"/>
      <c r="N161" s="78"/>
    </row>
    <row r="162" spans="1:14" s="76" customFormat="1" x14ac:dyDescent="0.2">
      <c r="A162" s="360" t="str">
        <f>'1461'!A162</f>
        <v>"All Adjusted ESE Riders" should include only ESE Riders.</v>
      </c>
      <c r="B162" s="356"/>
      <c r="C162" s="356"/>
      <c r="D162" s="356"/>
      <c r="E162" s="356"/>
      <c r="F162" s="356"/>
      <c r="G162" s="356"/>
      <c r="H162" s="356"/>
      <c r="I162" s="356"/>
      <c r="N162" s="78"/>
    </row>
    <row r="163" spans="1:14" s="76" customFormat="1" x14ac:dyDescent="0.2">
      <c r="A163" s="354" t="s">
        <v>405</v>
      </c>
      <c r="B163" s="356"/>
      <c r="C163" s="356"/>
      <c r="D163" s="356"/>
      <c r="E163" s="356"/>
      <c r="F163" s="356"/>
      <c r="G163" s="356"/>
      <c r="H163" s="356"/>
      <c r="I163" s="356"/>
      <c r="N163" s="78"/>
    </row>
    <row r="164" spans="1:14" s="76" customFormat="1" ht="15.75" customHeight="1" x14ac:dyDescent="0.2">
      <c r="A164" s="354" t="str">
        <f>'1461'!A164</f>
        <v xml:space="preserve">(j) Funding based on student eligibility and meals provided, if participating in the National School Lunch Program. </v>
      </c>
      <c r="B164" s="356"/>
      <c r="C164" s="356"/>
      <c r="D164" s="356"/>
      <c r="E164" s="356"/>
      <c r="F164" s="356"/>
      <c r="G164" s="356"/>
      <c r="H164" s="356"/>
      <c r="I164" s="356"/>
      <c r="N164" s="78"/>
    </row>
    <row r="165" spans="1:14" s="76" customFormat="1" ht="15.75" customHeight="1" x14ac:dyDescent="0.2">
      <c r="A165" s="354" t="s">
        <v>407</v>
      </c>
      <c r="B165" s="356"/>
      <c r="C165" s="356"/>
      <c r="D165" s="356"/>
      <c r="E165" s="356"/>
      <c r="F165" s="356"/>
      <c r="G165" s="356"/>
      <c r="H165" s="356"/>
      <c r="I165" s="356"/>
      <c r="N165" s="78"/>
    </row>
    <row r="166" spans="1:14" s="76" customFormat="1" ht="15.75" customHeight="1" x14ac:dyDescent="0.2">
      <c r="A166" s="360" t="s">
        <v>406</v>
      </c>
      <c r="B166" s="356"/>
      <c r="C166" s="356"/>
      <c r="D166" s="356"/>
      <c r="E166" s="356"/>
      <c r="F166" s="356"/>
      <c r="G166" s="356"/>
      <c r="H166" s="356"/>
      <c r="I166" s="356"/>
      <c r="N166" s="78"/>
    </row>
    <row r="167" spans="1:14" s="76" customFormat="1" ht="15.75" customHeight="1" x14ac:dyDescent="0.2">
      <c r="A167" s="354" t="s">
        <v>408</v>
      </c>
      <c r="B167" s="356"/>
      <c r="C167" s="356"/>
      <c r="D167" s="356"/>
      <c r="E167" s="356"/>
      <c r="F167" s="356"/>
      <c r="G167" s="356"/>
      <c r="H167" s="356"/>
      <c r="I167" s="356"/>
      <c r="N167" s="78"/>
    </row>
    <row r="168" spans="1:14" s="76" customFormat="1" ht="15.75" customHeight="1" x14ac:dyDescent="0.2">
      <c r="A168" s="360"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54" t="s">
        <v>410</v>
      </c>
      <c r="B169" s="356"/>
      <c r="C169" s="356"/>
      <c r="D169" s="356"/>
      <c r="E169" s="356"/>
      <c r="F169" s="356"/>
      <c r="G169" s="356"/>
      <c r="H169" s="356"/>
      <c r="I169" s="356"/>
      <c r="N169" s="78"/>
    </row>
    <row r="170" spans="1:14" s="76" customFormat="1" ht="15.75" customHeight="1" x14ac:dyDescent="0.2">
      <c r="A170" s="360" t="s">
        <v>409</v>
      </c>
      <c r="B170" s="356"/>
      <c r="C170" s="356"/>
      <c r="D170" s="356"/>
      <c r="E170" s="356"/>
      <c r="F170" s="356"/>
      <c r="G170" s="356"/>
      <c r="H170" s="356"/>
      <c r="I170" s="356"/>
      <c r="N170" s="78"/>
    </row>
    <row r="171" spans="1:14" s="76" customFormat="1" ht="15.75" customHeight="1" x14ac:dyDescent="0.2">
      <c r="A171" s="354"/>
      <c r="B171" s="356"/>
      <c r="C171" s="356"/>
      <c r="D171" s="356"/>
      <c r="E171" s="356"/>
      <c r="F171" s="356"/>
      <c r="G171" s="356"/>
      <c r="H171" s="356"/>
      <c r="I171" s="356"/>
      <c r="N171" s="78"/>
    </row>
    <row r="172" spans="1:14" s="76" customFormat="1" ht="15.75" customHeight="1" x14ac:dyDescent="0.25">
      <c r="A172" s="367" t="str">
        <f>'1461'!A172</f>
        <v>Administrative fees:</v>
      </c>
      <c r="B172" s="356"/>
      <c r="C172" s="356"/>
      <c r="D172" s="356"/>
      <c r="E172" s="356"/>
      <c r="F172" s="356"/>
      <c r="G172" s="356"/>
      <c r="H172" s="356"/>
      <c r="I172" s="356"/>
      <c r="J172" s="3"/>
      <c r="K172" s="3"/>
      <c r="L172" s="3"/>
      <c r="M172" s="3"/>
      <c r="N172" s="78"/>
    </row>
    <row r="173" spans="1:14" s="76" customFormat="1" ht="15.75" customHeight="1" x14ac:dyDescent="0.25">
      <c r="A173" s="371" t="str">
        <f>'1461'!A173</f>
        <v xml:space="preserve">Administrative fees charged by the school district pursuant to s. 1002.33(20)(a), F.S., shall be calculated based upon 5% of available funds from the FEFP and categorical </v>
      </c>
      <c r="B173" s="359"/>
      <c r="C173" s="359"/>
      <c r="D173" s="359"/>
      <c r="E173" s="359"/>
      <c r="F173" s="359"/>
      <c r="G173" s="359"/>
      <c r="H173" s="359"/>
      <c r="I173" s="359"/>
      <c r="J173" s="3"/>
      <c r="K173" s="3"/>
      <c r="L173" s="3"/>
      <c r="M173" s="3"/>
      <c r="N173" s="78"/>
    </row>
    <row r="174" spans="1:14" s="76" customFormat="1" ht="15.75" customHeight="1" x14ac:dyDescent="0.25">
      <c r="A174" s="372" t="str">
        <f>'1461'!A174</f>
        <v>funding for which charter students may be eligible.  To calculate the administrative fee to be withheld for schools with more than 250 students, divide the school</v>
      </c>
      <c r="B174" s="366"/>
      <c r="C174" s="366"/>
      <c r="D174" s="366"/>
      <c r="E174" s="366"/>
      <c r="F174" s="366"/>
      <c r="G174" s="366"/>
      <c r="H174" s="366"/>
      <c r="I174" s="366"/>
      <c r="J174" s="3"/>
      <c r="K174" s="3"/>
      <c r="L174" s="3"/>
      <c r="M174" s="3"/>
      <c r="N174" s="78"/>
    </row>
    <row r="175" spans="1:14" s="76" customFormat="1" ht="15.75" customHeight="1" x14ac:dyDescent="0.25">
      <c r="A175" s="372" t="s">
        <v>411</v>
      </c>
      <c r="B175" s="366"/>
      <c r="C175" s="366"/>
      <c r="D175" s="366"/>
      <c r="E175" s="366"/>
      <c r="F175" s="366"/>
      <c r="G175" s="366"/>
      <c r="H175" s="366"/>
      <c r="I175" s="366"/>
      <c r="J175" s="3"/>
      <c r="K175" s="3"/>
      <c r="L175" s="3"/>
      <c r="M175" s="3"/>
      <c r="N175" s="78"/>
    </row>
    <row r="176" spans="1:14" s="76" customFormat="1" ht="15.75" customHeight="1" x14ac:dyDescent="0.2">
      <c r="A176" s="372" t="s">
        <v>412</v>
      </c>
      <c r="B176" s="366"/>
      <c r="C176" s="366"/>
      <c r="D176" s="366"/>
      <c r="E176" s="366"/>
      <c r="F176" s="366"/>
      <c r="G176" s="366"/>
      <c r="H176" s="366"/>
      <c r="I176" s="366"/>
      <c r="N176" s="78"/>
    </row>
    <row r="177" spans="1:21" s="76" customFormat="1" ht="15.75" customHeight="1" x14ac:dyDescent="0.2">
      <c r="A177" s="371"/>
      <c r="B177" s="366"/>
      <c r="C177" s="366"/>
      <c r="D177" s="366"/>
      <c r="E177" s="366"/>
      <c r="F177" s="366"/>
      <c r="G177" s="366"/>
      <c r="H177" s="366"/>
      <c r="I177" s="366"/>
      <c r="N177" s="78"/>
    </row>
    <row r="178" spans="1:21" ht="15.75" customHeight="1" x14ac:dyDescent="0.25">
      <c r="A178" s="371" t="str">
        <f>'1461'!A178</f>
        <v xml:space="preserve">For high performing charter schools, administrative fees charged by the school district shall be calculated based upon 2% of available funds from the FEFP and categorical </v>
      </c>
      <c r="B178" s="359"/>
      <c r="C178" s="359"/>
      <c r="D178" s="359"/>
      <c r="E178" s="359"/>
      <c r="F178" s="359"/>
      <c r="G178" s="359"/>
      <c r="H178" s="359"/>
      <c r="I178" s="359"/>
      <c r="J178" s="76"/>
      <c r="K178" s="76"/>
      <c r="L178" s="76"/>
      <c r="M178" s="76"/>
      <c r="N178" s="78"/>
      <c r="O178" s="76"/>
      <c r="P178" s="76"/>
      <c r="Q178" s="76"/>
      <c r="R178" s="76"/>
      <c r="S178" s="76"/>
      <c r="T178" s="76"/>
      <c r="U178" s="76"/>
    </row>
    <row r="179" spans="1:21" ht="15.75" customHeight="1" x14ac:dyDescent="0.25">
      <c r="A179" s="372" t="str">
        <f>'1461'!A179</f>
        <v>funding for which charter students may be eligible.  To calculate the administrative fee to be withheld for schools with more than 250 students, divide the school</v>
      </c>
      <c r="B179" s="359"/>
      <c r="C179" s="359"/>
      <c r="D179" s="359"/>
      <c r="E179" s="359"/>
      <c r="F179" s="359"/>
      <c r="G179" s="359"/>
      <c r="H179" s="359"/>
      <c r="I179" s="359"/>
      <c r="J179" s="76"/>
      <c r="K179" s="76"/>
      <c r="L179" s="76"/>
      <c r="M179" s="76"/>
      <c r="N179" s="74"/>
    </row>
    <row r="180" spans="1:21" s="76" customFormat="1" ht="15.75" customHeight="1" x14ac:dyDescent="0.25">
      <c r="A180" s="372" t="str">
        <f>'1461'!A180</f>
        <v xml:space="preserve">population into 250. Multiply that fraction times the funds available, then times 2%.  </v>
      </c>
      <c r="B180" s="359"/>
      <c r="C180" s="359"/>
      <c r="D180" s="359"/>
      <c r="E180" s="359"/>
      <c r="F180" s="359"/>
      <c r="G180" s="359"/>
      <c r="H180" s="359"/>
      <c r="I180" s="359"/>
      <c r="N180" s="74"/>
      <c r="O180" s="3"/>
      <c r="P180" s="3"/>
      <c r="Q180" s="3"/>
      <c r="R180" s="3"/>
      <c r="S180" s="3"/>
      <c r="T180" s="3"/>
      <c r="U180" s="3"/>
    </row>
    <row r="181" spans="1:21" x14ac:dyDescent="0.25">
      <c r="A181" s="354"/>
      <c r="B181" s="359"/>
      <c r="C181" s="359"/>
      <c r="D181" s="359"/>
      <c r="E181" s="359"/>
      <c r="F181" s="359"/>
      <c r="G181" s="359"/>
      <c r="H181" s="359"/>
      <c r="I181" s="359"/>
      <c r="N181" s="78"/>
      <c r="O181" s="76"/>
      <c r="P181" s="76"/>
      <c r="Q181" s="76"/>
      <c r="R181" s="76"/>
      <c r="S181" s="76"/>
      <c r="T181" s="76"/>
      <c r="U181" s="76"/>
    </row>
    <row r="182" spans="1:21" x14ac:dyDescent="0.25">
      <c r="A182" s="367" t="str">
        <f>'1461'!A182</f>
        <v>Other:</v>
      </c>
      <c r="B182" s="365"/>
      <c r="C182" s="365"/>
      <c r="D182" s="365"/>
      <c r="E182" s="365"/>
      <c r="F182" s="365"/>
      <c r="G182" s="365"/>
      <c r="H182" s="365"/>
      <c r="I182" s="365"/>
      <c r="N182" s="78"/>
      <c r="O182" s="76"/>
      <c r="P182" s="76"/>
      <c r="Q182" s="76"/>
      <c r="R182" s="76"/>
      <c r="S182" s="76"/>
      <c r="T182" s="76"/>
      <c r="U182" s="76"/>
    </row>
    <row r="183" spans="1:21" x14ac:dyDescent="0.25">
      <c r="A183" s="371" t="str">
        <f>'1461'!A183</f>
        <v>FEFP and categorical funding are recalculated during the year to reflect the revised number of full-time equivalent students reported during the survey periods designated</v>
      </c>
      <c r="B183" s="359"/>
      <c r="C183" s="359"/>
      <c r="D183" s="359"/>
      <c r="E183" s="359"/>
      <c r="F183" s="359"/>
      <c r="G183" s="359"/>
      <c r="H183" s="359"/>
      <c r="I183" s="359"/>
      <c r="N183" s="78"/>
      <c r="O183" s="76"/>
      <c r="P183" s="76"/>
      <c r="Q183" s="76"/>
      <c r="R183" s="76"/>
      <c r="S183" s="76"/>
      <c r="T183" s="76"/>
      <c r="U183" s="76"/>
    </row>
    <row r="184" spans="1:21" x14ac:dyDescent="0.25">
      <c r="A184" s="372" t="str">
        <f>'1461'!A184</f>
        <v>by the Commissioner of Education.</v>
      </c>
      <c r="B184" s="366"/>
      <c r="C184" s="366"/>
      <c r="D184" s="366"/>
      <c r="E184" s="366"/>
      <c r="F184" s="366"/>
      <c r="G184" s="366"/>
      <c r="H184" s="366"/>
      <c r="I184" s="366"/>
      <c r="N184" s="74"/>
    </row>
    <row r="185" spans="1:21" x14ac:dyDescent="0.25">
      <c r="A185" s="371" t="str">
        <f>'1461'!A185</f>
        <v>Revenues flow to districts from state sources and from county tax collectors on various distribution schedules.</v>
      </c>
      <c r="B185" s="359"/>
      <c r="C185" s="359"/>
      <c r="D185" s="359"/>
      <c r="E185" s="359"/>
      <c r="F185" s="359"/>
      <c r="G185" s="359"/>
      <c r="H185" s="359"/>
      <c r="I185" s="359"/>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2"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6</vt:i4>
      </vt:variant>
    </vt:vector>
  </HeadingPairs>
  <TitlesOfParts>
    <vt:vector size="59" baseType="lpstr">
      <vt:lpstr>Annual Rev &amp; Fees</vt:lpstr>
      <vt:lpstr>Net Payment</vt:lpstr>
      <vt:lpstr>Charter Schools</vt:lpstr>
      <vt:lpstr>Consolidated</vt:lpstr>
      <vt:lpstr>Cumulative Payments</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2024-12-04T21:12:28Z</cp:lastPrinted>
  <dcterms:created xsi:type="dcterms:W3CDTF">1998-02-12T20:21:54Z</dcterms:created>
  <dcterms:modified xsi:type="dcterms:W3CDTF">2024-12-09T21:46:27Z</dcterms:modified>
</cp:coreProperties>
</file>